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OneDrive\Desktop\LF_DCF_temp\"/>
    </mc:Choice>
  </mc:AlternateContent>
  <xr:revisionPtr revIDLastSave="0" documentId="13_ncr:1_{CC10D7ED-2739-43F4-BBEF-40401CC72DA7}" xr6:coauthVersionLast="47" xr6:coauthVersionMax="47" xr10:uidLastSave="{00000000-0000-0000-0000-000000000000}"/>
  <bookViews>
    <workbookView xWindow="390" yWindow="390" windowWidth="21600" windowHeight="11295" xr2:uid="{701D1D20-2C4E-4149-B34B-249FE15D7C88}"/>
  </bookViews>
  <sheets>
    <sheet name="Log" sheetId="3" r:id="rId1"/>
    <sheet name="DCF" sheetId="1" r:id="rId2"/>
    <sheet name="WAC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1" l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B86" i="1"/>
  <c r="B85" i="1"/>
  <c r="J80" i="1"/>
  <c r="I80" i="1"/>
  <c r="H80" i="1"/>
  <c r="G80" i="1"/>
  <c r="F80" i="1"/>
  <c r="B26" i="2"/>
  <c r="B17" i="2"/>
  <c r="B96" i="1"/>
  <c r="B93" i="1"/>
  <c r="B70" i="1"/>
  <c r="B73" i="1" s="1"/>
  <c r="B77" i="1" s="1"/>
  <c r="B78" i="1" s="1"/>
  <c r="C65" i="1"/>
  <c r="D65" i="1"/>
  <c r="E65" i="1"/>
  <c r="B65" i="1"/>
  <c r="B60" i="1"/>
  <c r="C59" i="1"/>
  <c r="C60" i="1" s="1"/>
  <c r="D59" i="1"/>
  <c r="D60" i="1" s="1"/>
  <c r="E59" i="1"/>
  <c r="E60" i="1" s="1"/>
  <c r="B59" i="1"/>
  <c r="B67" i="1" s="1"/>
  <c r="B69" i="1" s="1"/>
  <c r="F57" i="1"/>
  <c r="E57" i="1"/>
  <c r="D57" i="1"/>
  <c r="C57" i="1"/>
  <c r="B52" i="1"/>
  <c r="C52" i="1"/>
  <c r="D52" i="1"/>
  <c r="E52" i="1"/>
  <c r="F52" i="1"/>
  <c r="G52" i="1"/>
  <c r="H52" i="1"/>
  <c r="B51" i="1"/>
  <c r="C51" i="1"/>
  <c r="D51" i="1"/>
  <c r="E51" i="1"/>
  <c r="F51" i="1"/>
  <c r="G51" i="1"/>
  <c r="H51" i="1"/>
  <c r="B50" i="1"/>
  <c r="F74" i="1" s="1"/>
  <c r="C50" i="1"/>
  <c r="D50" i="1"/>
  <c r="E50" i="1"/>
  <c r="F50" i="1"/>
  <c r="G50" i="1"/>
  <c r="H50" i="1"/>
  <c r="B49" i="1"/>
  <c r="C49" i="1"/>
  <c r="D49" i="1"/>
  <c r="E49" i="1"/>
  <c r="F49" i="1"/>
  <c r="G49" i="1"/>
  <c r="H49" i="1"/>
  <c r="B48" i="1"/>
  <c r="C48" i="1"/>
  <c r="D48" i="1"/>
  <c r="E48" i="1"/>
  <c r="F48" i="1"/>
  <c r="G48" i="1"/>
  <c r="H48" i="1"/>
  <c r="B47" i="1"/>
  <c r="C47" i="1"/>
  <c r="D47" i="1"/>
  <c r="E47" i="1"/>
  <c r="F47" i="1"/>
  <c r="G47" i="1"/>
  <c r="H47" i="1"/>
  <c r="B46" i="1"/>
  <c r="F56" i="1" s="1"/>
  <c r="C46" i="1"/>
  <c r="D46" i="1"/>
  <c r="E46" i="1"/>
  <c r="F46" i="1"/>
  <c r="G46" i="1"/>
  <c r="H46" i="1"/>
  <c r="B5" i="1"/>
  <c r="E67" i="1" l="1"/>
  <c r="F63" i="1"/>
  <c r="G56" i="1"/>
  <c r="F62" i="1"/>
  <c r="F65" i="1" s="1"/>
  <c r="F76" i="1"/>
  <c r="F58" i="1"/>
  <c r="F59" i="1" s="1"/>
  <c r="D67" i="1"/>
  <c r="C67" i="1"/>
  <c r="F75" i="1"/>
  <c r="B68" i="1"/>
  <c r="F64" i="1"/>
  <c r="F60" i="1" l="1"/>
  <c r="F67" i="1"/>
  <c r="G62" i="1"/>
  <c r="G76" i="1"/>
  <c r="G58" i="1"/>
  <c r="G59" i="1" s="1"/>
  <c r="G75" i="1"/>
  <c r="G64" i="1"/>
  <c r="H56" i="1"/>
  <c r="G63" i="1"/>
  <c r="G74" i="1"/>
  <c r="G57" i="1"/>
  <c r="E69" i="1"/>
  <c r="E68" i="1"/>
  <c r="E70" i="1"/>
  <c r="E73" i="1" s="1"/>
  <c r="E77" i="1" s="1"/>
  <c r="E78" i="1" s="1"/>
  <c r="C69" i="1"/>
  <c r="C68" i="1"/>
  <c r="C70" i="1"/>
  <c r="C73" i="1" s="1"/>
  <c r="C77" i="1" s="1"/>
  <c r="C78" i="1" s="1"/>
  <c r="D69" i="1"/>
  <c r="D68" i="1"/>
  <c r="D70" i="1"/>
  <c r="D73" i="1" s="1"/>
  <c r="D77" i="1" s="1"/>
  <c r="D78" i="1" s="1"/>
  <c r="G60" i="1" l="1"/>
  <c r="G67" i="1"/>
  <c r="H62" i="1"/>
  <c r="H65" i="1" s="1"/>
  <c r="H76" i="1"/>
  <c r="H58" i="1"/>
  <c r="H59" i="1" s="1"/>
  <c r="H75" i="1"/>
  <c r="I56" i="1"/>
  <c r="H63" i="1"/>
  <c r="H74" i="1"/>
  <c r="H57" i="1"/>
  <c r="H64" i="1"/>
  <c r="G65" i="1"/>
  <c r="F68" i="1"/>
  <c r="F69" i="1"/>
  <c r="F70" i="1" s="1"/>
  <c r="F73" i="1" s="1"/>
  <c r="F77" i="1" s="1"/>
  <c r="F78" i="1" l="1"/>
  <c r="F81" i="1"/>
  <c r="H60" i="1"/>
  <c r="H67" i="1"/>
  <c r="I62" i="1"/>
  <c r="I65" i="1" s="1"/>
  <c r="I76" i="1"/>
  <c r="I58" i="1"/>
  <c r="I59" i="1" s="1"/>
  <c r="I75" i="1"/>
  <c r="I57" i="1"/>
  <c r="J56" i="1"/>
  <c r="I63" i="1"/>
  <c r="I74" i="1"/>
  <c r="I64" i="1"/>
  <c r="G68" i="1"/>
  <c r="G69" i="1"/>
  <c r="G70" i="1" s="1"/>
  <c r="G73" i="1" s="1"/>
  <c r="G77" i="1" s="1"/>
  <c r="G78" i="1" l="1"/>
  <c r="G81" i="1"/>
  <c r="I60" i="1"/>
  <c r="I67" i="1"/>
  <c r="H68" i="1"/>
  <c r="H69" i="1"/>
  <c r="H70" i="1"/>
  <c r="H73" i="1" s="1"/>
  <c r="H77" i="1" s="1"/>
  <c r="J62" i="1"/>
  <c r="J76" i="1"/>
  <c r="J58" i="1"/>
  <c r="J59" i="1" s="1"/>
  <c r="J75" i="1"/>
  <c r="J57" i="1"/>
  <c r="J63" i="1"/>
  <c r="J74" i="1"/>
  <c r="J64" i="1"/>
  <c r="J60" i="1" l="1"/>
  <c r="H78" i="1"/>
  <c r="H81" i="1"/>
  <c r="I68" i="1"/>
  <c r="I69" i="1"/>
  <c r="I70" i="1"/>
  <c r="I73" i="1" s="1"/>
  <c r="I77" i="1" s="1"/>
  <c r="J65" i="1"/>
  <c r="J67" i="1" s="1"/>
  <c r="J68" i="1" l="1"/>
  <c r="J69" i="1"/>
  <c r="J70" i="1" s="1"/>
  <c r="J73" i="1" s="1"/>
  <c r="J77" i="1" s="1"/>
  <c r="I78" i="1"/>
  <c r="I81" i="1"/>
  <c r="J78" i="1" l="1"/>
  <c r="B84" i="1"/>
  <c r="J81" i="1"/>
  <c r="B90" i="1" s="1"/>
  <c r="B91" i="1" l="1"/>
  <c r="B92" i="1" s="1"/>
  <c r="B87" i="1"/>
  <c r="B95" i="1" l="1"/>
  <c r="B11" i="1"/>
  <c r="B14" i="2" l="1"/>
  <c r="B97" i="1"/>
  <c r="B9" i="1"/>
  <c r="B9" i="2" l="1"/>
  <c r="B10" i="2" s="1"/>
  <c r="B19" i="2"/>
  <c r="B21" i="2" s="1"/>
  <c r="B31" i="2" s="1"/>
  <c r="B20" i="2" l="1"/>
  <c r="B30" i="2"/>
  <c r="B32" i="2" s="1"/>
</calcChain>
</file>

<file path=xl/sharedStrings.xml><?xml version="1.0" encoding="utf-8"?>
<sst xmlns="http://schemas.openxmlformats.org/spreadsheetml/2006/main" count="180" uniqueCount="118">
  <si>
    <t>Turn #</t>
  </si>
  <si>
    <t>Date</t>
  </si>
  <si>
    <t>User Request</t>
  </si>
  <si>
    <t>Action Taken</t>
  </si>
  <si>
    <t>Details</t>
  </si>
  <si>
    <t>Outcome</t>
  </si>
  <si>
    <t>Build 5-year DCF model for a private company with template/default data</t>
  </si>
  <si>
    <t>Creating full DCF model with DCF sheet, WACC sheet, and Claude Log</t>
  </si>
  <si>
    <t>Private co 'Acme Corp', ~$500M rev, Bear/Base/Bull scenarios, CAPM-based WACC, 3 sensitivity tables, professional IB formatting</t>
  </si>
  <si>
    <t>Acme Corp — DCF Valuation Model</t>
  </si>
  <si>
    <t>Ticker: ACME (Private) | Date: April 1, 2026 | Fiscal Year End: December</t>
  </si>
  <si>
    <t>Scenario Selector</t>
  </si>
  <si>
    <t>(1=Bear, 2=Base, 3=Bull)</t>
  </si>
  <si>
    <t>Selected Case:</t>
  </si>
  <si>
    <t>MARKET DATA &amp; KEY INPUTS</t>
  </si>
  <si>
    <t>Item</t>
  </si>
  <si>
    <t>Value</t>
  </si>
  <si>
    <t>Equity Value (Implied, $M)</t>
  </si>
  <si>
    <t>Shares Outstanding (M)</t>
  </si>
  <si>
    <t>Enterprise Value (Implied, $M)</t>
  </si>
  <si>
    <t>Net Debt ($M)</t>
  </si>
  <si>
    <t>BEAR CASE ASSUMPTIONS</t>
  </si>
  <si>
    <t>Assumption</t>
  </si>
  <si>
    <t>FY2025E</t>
  </si>
  <si>
    <t>FY2026E</t>
  </si>
  <si>
    <t>FY2027E</t>
  </si>
  <si>
    <t>FY2028E</t>
  </si>
  <si>
    <t>FY2029E</t>
  </si>
  <si>
    <t>Terminal g</t>
  </si>
  <si>
    <t>WACC</t>
  </si>
  <si>
    <t>Revenue Growth (%)</t>
  </si>
  <si>
    <t>EBIT Margin (%)</t>
  </si>
  <si>
    <t>Gross Margin (%)</t>
  </si>
  <si>
    <t>Tax Rate (%)</t>
  </si>
  <si>
    <t>D&amp;A (% of Rev)</t>
  </si>
  <si>
    <t>CapEx (% of Rev)</t>
  </si>
  <si>
    <t>NWC Chg (% of ΔRev)</t>
  </si>
  <si>
    <t>BASE CASE ASSUMPTIONS</t>
  </si>
  <si>
    <t>BULL CASE ASSUMPTIONS</t>
  </si>
  <si>
    <t>SELECTED CASE (ACTIVE ASSUMPTIONS)</t>
  </si>
  <si>
    <t>5-YEAR CASH FLOW PROJECTION ($M)</t>
  </si>
  <si>
    <t>FY2021A</t>
  </si>
  <si>
    <t>FY2022A</t>
  </si>
  <si>
    <t>FY2023A</t>
  </si>
  <si>
    <t>FY2024A</t>
  </si>
  <si>
    <t>Revenue</t>
  </si>
  <si>
    <t xml:space="preserve">  % Growth</t>
  </si>
  <si>
    <t>COGS</t>
  </si>
  <si>
    <t>Gross Profit</t>
  </si>
  <si>
    <t xml:space="preserve">  % Margin</t>
  </si>
  <si>
    <t xml:space="preserve">  Sales &amp; Marketing</t>
  </si>
  <si>
    <t xml:space="preserve">  Research &amp; Development</t>
  </si>
  <si>
    <t xml:space="preserve">  General &amp; Administrative</t>
  </si>
  <si>
    <t>Total Operating Expenses</t>
  </si>
  <si>
    <t>EBIT</t>
  </si>
  <si>
    <t>Taxes</t>
  </si>
  <si>
    <t>NOPAT</t>
  </si>
  <si>
    <t>FREE CASH FLOW BUILD ($M)</t>
  </si>
  <si>
    <t>(+) D&amp;A</t>
  </si>
  <si>
    <t>(-) CapEx</t>
  </si>
  <si>
    <t>(-) Chg in NWC</t>
  </si>
  <si>
    <t>Unlevered Free Cash Flow</t>
  </si>
  <si>
    <t>Discount Period</t>
  </si>
  <si>
    <t>Discount Factor</t>
  </si>
  <si>
    <t>PV of FCF</t>
  </si>
  <si>
    <t>TERMINAL VALUE CALCULATION ($M)</t>
  </si>
  <si>
    <t>Terminal Year FCF</t>
  </si>
  <si>
    <t>Terminal Value (Perpetuity Growth)</t>
  </si>
  <si>
    <t>PV of Terminal Value</t>
  </si>
  <si>
    <t xml:space="preserve">  Terminal Value as % of EV</t>
  </si>
  <si>
    <t>VALUATION SUMMARY ($M)</t>
  </si>
  <si>
    <t>Sum of PV of Projected FCFs</t>
  </si>
  <si>
    <t>(+) PV of Terminal Value</t>
  </si>
  <si>
    <t>Enterprise Value (Implied)</t>
  </si>
  <si>
    <t>(-) Net Debt</t>
  </si>
  <si>
    <t>Equity Value (Implied)</t>
  </si>
  <si>
    <t>Diluted Shares Outstanding (M)</t>
  </si>
  <si>
    <t>Implied Value per Share</t>
  </si>
  <si>
    <t>WACC CALCULATION — Acme Corp</t>
  </si>
  <si>
    <t>COST OF EQUITY (CAPM)</t>
  </si>
  <si>
    <t>Component</t>
  </si>
  <si>
    <t>Risk-Free Rate (10Y Treasury)</t>
  </si>
  <si>
    <t>Unlevered Beta</t>
  </si>
  <si>
    <t>Equity Risk Premium</t>
  </si>
  <si>
    <t>Size Premium (Private Co.)</t>
  </si>
  <si>
    <t>Levered Beta</t>
  </si>
  <si>
    <t>Cost of Equity</t>
  </si>
  <si>
    <t>CAPITAL STRUCTURE</t>
  </si>
  <si>
    <t>Market Value of Equity ($M)</t>
  </si>
  <si>
    <t>Total Debt ($M)</t>
  </si>
  <si>
    <t>Cash &amp; Equivalents ($M)</t>
  </si>
  <si>
    <t>Marginal Tax Rate</t>
  </si>
  <si>
    <t>Enterprise Value ($M)</t>
  </si>
  <si>
    <t>Equity Weight</t>
  </si>
  <si>
    <t>Debt Weight</t>
  </si>
  <si>
    <t>COST OF DEBT</t>
  </si>
  <si>
    <t>Pre-Tax Cost of Debt</t>
  </si>
  <si>
    <t>After-Tax Cost of Debt</t>
  </si>
  <si>
    <t>WEIGHTED AVERAGE COST OF CAPITAL</t>
  </si>
  <si>
    <t>Cost of Equity × Equity Weight</t>
  </si>
  <si>
    <t>After-Tax Cost of Debt × Debt Weight</t>
  </si>
  <si>
    <t>SENSITIVITY ANALYSIS</t>
  </si>
  <si>
    <t>Table 1: Implied Value per Share — WACC vs Terminal Growth Rate</t>
  </si>
  <si>
    <t>WACC \ Terminal g</t>
  </si>
  <si>
    <t>Table 2: Implied Value per Share — Revenue Growth (Avg) vs EBIT Margin (Terminal)</t>
  </si>
  <si>
    <t>AvgRevGr \ EBITMrg</t>
  </si>
  <si>
    <t>Table 3: Implied Value per Share — Beta vs Risk-Free Rate</t>
  </si>
  <si>
    <t>Beta \ Risk-Free</t>
  </si>
  <si>
    <t>Note: WACC from scenario assumptions. See WACC tab for detailed CAPM calculation (computed WACC = formula link below).</t>
  </si>
  <si>
    <t>Complete — Full DCF model built. Base case: $35.05/share implied value. EV $1,902M, Equity $1,752M. Zero formula errors.</t>
  </si>
  <si>
    <t>User confirmed proceed with plan for private company DCF template</t>
  </si>
  <si>
    <t>Built complete model: DCF sheet (rows 1-124) + WACC sheet + 3 sensitivity tables</t>
  </si>
  <si>
    <t>Bear/Base/Bull scenarios with CHOOSE consolidation. CAPM-based WACC. Revenue $480M to $773M over 5yr. EBIT margins 18% to 22%. FCF build with D&amp;A, CapEx, NWC. Terminal value via perpetuity growth. 75 sensitivity formulas across 3 tables.</t>
  </si>
  <si>
    <t>Model complete. All formulas verified, zero errors. Blue font = inputs, black = formulas, green = cross-sheet links. Scenario selector in B4 toggles Bear/Base/Bull.</t>
  </si>
  <si>
    <t>Build pricing tool for Acme Corp with markup, margin, fixed expenses, breakeven analysis, backward-solving for price or markup, 10% target net margin</t>
  </si>
  <si>
    <t>Created Pricing Tool sheet with 5 sections: Instructions, Global Assumptions, Single-Item Calculator, Breakeven Analysis, and 7-item Product/Service Table</t>
  </si>
  <si>
    <t>Two solve modes (dropdown): 'Solve for Price' uses cost+markup, 'Solve for Markup' uses cost+price. Target net margin 10%. Fixed expenses $250K. Breakeven uses contribution margin. Product table allocates fixed costs by volume weight. Conditional formatting on profit/loss. All blue cells are editable inputs.</t>
  </si>
  <si>
    <t>Complete. Base case: $67.50 single-item price, 13% net margin. Product table: $221.5K total annual profit, 22.9% blended net margin. Zero formula errors. Accessory Pack flagged as loss item.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</si>
</sst>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"/>
    <numFmt numFmtId="165" formatCode="#,##0.0"/>
    <numFmt numFmtId="166" formatCode="0.0%"/>
    <numFmt numFmtId="167" formatCode="&quot;$&quot;#,##0;\(&quot;$&quot;#,##0\);\-"/>
    <numFmt numFmtId="168" formatCode="0.0"/>
    <numFmt numFmtId="169" formatCode="0.0000"/>
    <numFmt numFmtId="170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4"/>
      <color rgb="FF1F4E79"/>
      <name val="Aptos Narrow"/>
      <family val="2"/>
      <scheme val="minor"/>
    </font>
    <font>
      <i/>
      <sz val="10"/>
      <color rgb="FF666666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666666"/>
      <name val="Aptos Narrow"/>
      <family val="2"/>
      <scheme val="minor"/>
    </font>
    <font>
      <b/>
      <sz val="11"/>
      <color rgb="FF1F4E7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8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8"/>
      <color rgb="FF666666"/>
      <name val="Aptos Narrow"/>
      <family val="2"/>
      <scheme val="minor"/>
    </font>
    <font>
      <i/>
      <sz val="8"/>
      <color rgb="FF008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8B0000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rgb="FFBDD7EE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1F4E79"/>
      </top>
      <bottom/>
      <diagonal/>
    </border>
    <border>
      <left/>
      <right/>
      <top/>
      <bottom style="medium">
        <color rgb="FF1F4E79"/>
      </bottom>
      <diagonal/>
    </border>
    <border>
      <left style="medium">
        <color rgb="FF1F4E79"/>
      </left>
      <right/>
      <top style="medium">
        <color rgb="FF1F4E79"/>
      </top>
      <bottom/>
      <diagonal/>
    </border>
    <border>
      <left style="medium">
        <color rgb="FF1F4E79"/>
      </left>
      <right/>
      <top/>
      <bottom/>
      <diagonal/>
    </border>
    <border>
      <left style="medium">
        <color rgb="FF1F4E79"/>
      </left>
      <right/>
      <top/>
      <bottom style="medium">
        <color rgb="FF1F4E79"/>
      </bottom>
      <diagonal/>
    </border>
    <border>
      <left/>
      <right style="medium">
        <color rgb="FF1F4E79"/>
      </right>
      <top style="medium">
        <color rgb="FF1F4E79"/>
      </top>
      <bottom/>
      <diagonal/>
    </border>
    <border>
      <left/>
      <right style="medium">
        <color rgb="FF1F4E79"/>
      </right>
      <top/>
      <bottom/>
      <diagonal/>
    </border>
    <border>
      <left/>
      <right style="medium">
        <color rgb="FF1F4E79"/>
      </right>
      <top/>
      <bottom style="medium">
        <color rgb="FF1F4E79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14" fontId="0" fillId="0" borderId="0" xfId="0" applyNumberFormat="1"/>
    <xf numFmtId="0" fontId="1" fillId="0" borderId="0" xfId="0" applyFont="1"/>
    <xf numFmtId="0" fontId="6" fillId="3" borderId="0" xfId="0" applyFont="1" applyFill="1"/>
    <xf numFmtId="0" fontId="8" fillId="0" borderId="0" xfId="0" applyFont="1"/>
    <xf numFmtId="0" fontId="9" fillId="0" borderId="0" xfId="0" applyFont="1"/>
    <xf numFmtId="0" fontId="1" fillId="4" borderId="0" xfId="0" applyFont="1" applyFill="1"/>
    <xf numFmtId="164" fontId="5" fillId="3" borderId="0" xfId="0" applyNumberFormat="1" applyFont="1" applyFill="1"/>
    <xf numFmtId="166" fontId="5" fillId="3" borderId="0" xfId="0" applyNumberFormat="1" applyFont="1" applyFill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2" fontId="5" fillId="3" borderId="0" xfId="0" applyNumberFormat="1" applyFont="1" applyFill="1"/>
    <xf numFmtId="2" fontId="0" fillId="0" borderId="0" xfId="0" applyNumberFormat="1"/>
    <xf numFmtId="166" fontId="1" fillId="7" borderId="0" xfId="0" applyNumberFormat="1" applyFont="1" applyFill="1"/>
    <xf numFmtId="164" fontId="11" fillId="0" borderId="0" xfId="0" applyNumberFormat="1" applyFont="1"/>
    <xf numFmtId="164" fontId="1" fillId="0" borderId="0" xfId="0" applyNumberFormat="1" applyFont="1"/>
    <xf numFmtId="0" fontId="10" fillId="0" borderId="0" xfId="0" applyFont="1"/>
    <xf numFmtId="166" fontId="10" fillId="7" borderId="0" xfId="0" applyNumberFormat="1" applyFont="1" applyFill="1"/>
    <xf numFmtId="164" fontId="0" fillId="0" borderId="0" xfId="0" applyNumberFormat="1"/>
    <xf numFmtId="0" fontId="1" fillId="4" borderId="4" xfId="0" applyFont="1" applyFill="1" applyBorder="1"/>
    <xf numFmtId="0" fontId="0" fillId="0" borderId="4" xfId="0" applyBorder="1"/>
    <xf numFmtId="0" fontId="0" fillId="0" borderId="5" xfId="0" applyBorder="1"/>
    <xf numFmtId="0" fontId="1" fillId="4" borderId="7" xfId="0" applyFont="1" applyFill="1" applyBorder="1"/>
    <xf numFmtId="164" fontId="0" fillId="0" borderId="7" xfId="0" applyNumberFormat="1" applyBorder="1"/>
    <xf numFmtId="165" fontId="5" fillId="3" borderId="7" xfId="0" applyNumberFormat="1" applyFont="1" applyFill="1" applyBorder="1"/>
    <xf numFmtId="164" fontId="5" fillId="3" borderId="8" xfId="0" applyNumberFormat="1" applyFont="1" applyFill="1" applyBorder="1"/>
    <xf numFmtId="166" fontId="5" fillId="3" borderId="2" xfId="0" applyNumberFormat="1" applyFont="1" applyFill="1" applyBorder="1"/>
    <xf numFmtId="166" fontId="5" fillId="3" borderId="7" xfId="0" applyNumberFormat="1" applyFont="1" applyFill="1" applyBorder="1"/>
    <xf numFmtId="166" fontId="5" fillId="3" borderId="8" xfId="0" applyNumberFormat="1" applyFont="1" applyFill="1" applyBorder="1"/>
    <xf numFmtId="166" fontId="1" fillId="0" borderId="0" xfId="0" applyNumberFormat="1" applyFont="1"/>
    <xf numFmtId="166" fontId="1" fillId="0" borderId="2" xfId="0" applyNumberFormat="1" applyFont="1" applyBorder="1"/>
    <xf numFmtId="166" fontId="1" fillId="0" borderId="7" xfId="0" applyNumberFormat="1" applyFont="1" applyBorder="1"/>
    <xf numFmtId="166" fontId="1" fillId="0" borderId="8" xfId="0" applyNumberFormat="1" applyFont="1" applyBorder="1"/>
    <xf numFmtId="164" fontId="5" fillId="0" borderId="0" xfId="0" applyNumberFormat="1" applyFont="1"/>
    <xf numFmtId="167" fontId="5" fillId="0" borderId="0" xfId="0" applyNumberFormat="1" applyFont="1"/>
    <xf numFmtId="167" fontId="0" fillId="0" borderId="2" xfId="0" applyNumberFormat="1" applyBorder="1"/>
    <xf numFmtId="0" fontId="7" fillId="0" borderId="4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166" fontId="0" fillId="0" borderId="7" xfId="0" applyNumberFormat="1" applyBorder="1"/>
    <xf numFmtId="167" fontId="0" fillId="0" borderId="7" xfId="0" applyNumberFormat="1" applyBorder="1"/>
    <xf numFmtId="0" fontId="0" fillId="0" borderId="7" xfId="0" applyBorder="1"/>
    <xf numFmtId="167" fontId="0" fillId="0" borderId="8" xfId="0" applyNumberFormat="1" applyBorder="1"/>
    <xf numFmtId="164" fontId="0" fillId="0" borderId="2" xfId="0" applyNumberFormat="1" applyBorder="1"/>
    <xf numFmtId="164" fontId="0" fillId="0" borderId="8" xfId="0" applyNumberFormat="1" applyBorder="1"/>
    <xf numFmtId="166" fontId="0" fillId="0" borderId="2" xfId="0" applyNumberFormat="1" applyBorder="1"/>
    <xf numFmtId="0" fontId="7" fillId="0" borderId="5" xfId="0" applyFont="1" applyBorder="1"/>
    <xf numFmtId="166" fontId="0" fillId="0" borderId="8" xfId="0" applyNumberFormat="1" applyBorder="1"/>
    <xf numFmtId="167" fontId="1" fillId="0" borderId="2" xfId="0" applyNumberFormat="1" applyFont="1" applyBorder="1"/>
    <xf numFmtId="167" fontId="1" fillId="0" borderId="8" xfId="0" applyNumberFormat="1" applyFont="1" applyBorder="1"/>
    <xf numFmtId="165" fontId="0" fillId="0" borderId="7" xfId="0" applyNumberFormat="1" applyBorder="1"/>
    <xf numFmtId="170" fontId="10" fillId="7" borderId="8" xfId="0" applyNumberFormat="1" applyFont="1" applyFill="1" applyBorder="1"/>
    <xf numFmtId="167" fontId="1" fillId="7" borderId="8" xfId="0" applyNumberFormat="1" applyFont="1" applyFill="1" applyBorder="1"/>
    <xf numFmtId="166" fontId="1" fillId="4" borderId="0" xfId="0" applyNumberFormat="1" applyFont="1" applyFill="1"/>
    <xf numFmtId="170" fontId="0" fillId="0" borderId="0" xfId="0" applyNumberFormat="1"/>
    <xf numFmtId="170" fontId="1" fillId="7" borderId="0" xfId="0" applyNumberFormat="1" applyFont="1" applyFill="1"/>
    <xf numFmtId="170" fontId="0" fillId="0" borderId="2" xfId="0" applyNumberFormat="1" applyBorder="1"/>
    <xf numFmtId="166" fontId="1" fillId="4" borderId="4" xfId="0" applyNumberFormat="1" applyFont="1" applyFill="1" applyBorder="1"/>
    <xf numFmtId="166" fontId="1" fillId="4" borderId="5" xfId="0" applyNumberFormat="1" applyFont="1" applyFill="1" applyBorder="1"/>
    <xf numFmtId="166" fontId="1" fillId="4" borderId="7" xfId="0" applyNumberFormat="1" applyFont="1" applyFill="1" applyBorder="1"/>
    <xf numFmtId="170" fontId="0" fillId="0" borderId="7" xfId="0" applyNumberFormat="1" applyBorder="1"/>
    <xf numFmtId="170" fontId="0" fillId="0" borderId="8" xfId="0" applyNumberFormat="1" applyBorder="1"/>
    <xf numFmtId="2" fontId="1" fillId="4" borderId="4" xfId="0" applyNumberFormat="1" applyFont="1" applyFill="1" applyBorder="1"/>
    <xf numFmtId="2" fontId="1" fillId="4" borderId="5" xfId="0" applyNumberFormat="1" applyFont="1" applyFill="1" applyBorder="1"/>
    <xf numFmtId="0" fontId="13" fillId="0" borderId="4" xfId="0" applyFont="1" applyBorder="1"/>
    <xf numFmtId="166" fontId="14" fillId="0" borderId="0" xfId="0" applyNumberFormat="1" applyFont="1"/>
    <xf numFmtId="0" fontId="3" fillId="0" borderId="0" xfId="0" applyFont="1"/>
    <xf numFmtId="0" fontId="2" fillId="2" borderId="0" xfId="0" applyFont="1" applyFill="1"/>
    <xf numFmtId="0" fontId="2" fillId="2" borderId="3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4" fillId="0" borderId="0" xfId="0" applyFont="1"/>
    <xf numFmtId="0" fontId="12" fillId="0" borderId="3" xfId="0" applyFont="1" applyBorder="1"/>
    <xf numFmtId="0" fontId="12" fillId="0" borderId="1" xfId="0" applyFont="1" applyBorder="1"/>
    <xf numFmtId="0" fontId="12" fillId="0" borderId="6" xfId="0" applyFont="1" applyBorder="1"/>
    <xf numFmtId="0" fontId="12" fillId="0" borderId="0" xfId="0" applyFont="1"/>
    <xf numFmtId="0" fontId="2" fillId="5" borderId="3" xfId="0" applyFont="1" applyFill="1" applyBorder="1"/>
    <xf numFmtId="0" fontId="2" fillId="5" borderId="1" xfId="0" applyFont="1" applyFill="1" applyBorder="1"/>
    <xf numFmtId="0" fontId="2" fillId="5" borderId="6" xfId="0" applyFont="1" applyFill="1" applyBorder="1"/>
    <xf numFmtId="0" fontId="2" fillId="6" borderId="3" xfId="0" applyFont="1" applyFill="1" applyBorder="1"/>
    <xf numFmtId="0" fontId="2" fillId="6" borderId="1" xfId="0" applyFont="1" applyFill="1" applyBorder="1"/>
    <xf numFmtId="0" fontId="2" fillId="6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13061EB-1836-43C9-8255-2EE1980136FF}">
  <we:reference id="wa200009404" version="1.0.0.8" store="en-U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268D-9053-4E61-9BDA-8EBE54D7F750}">
  <dimension ref="A1:F4"/>
  <sheetViews>
    <sheetView tabSelected="1" workbookViewId="0">
      <selection activeCell="A12" sqref="A12"/>
    </sheetView>
  </sheetViews>
  <sheetFormatPr defaultRowHeight="15" x14ac:dyDescent="0.25"/>
  <cols>
    <col min="1" max="6" width="34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>
        <v>1</v>
      </c>
      <c r="B2" s="2">
        <v>46113</v>
      </c>
      <c r="C2" t="s">
        <v>6</v>
      </c>
      <c r="D2" t="s">
        <v>7</v>
      </c>
      <c r="E2" t="s">
        <v>8</v>
      </c>
      <c r="F2" t="s">
        <v>109</v>
      </c>
    </row>
    <row r="3" spans="1:6" x14ac:dyDescent="0.25">
      <c r="A3">
        <v>2</v>
      </c>
      <c r="B3" s="2">
        <v>46113</v>
      </c>
      <c r="C3" t="s">
        <v>110</v>
      </c>
      <c r="D3" t="s">
        <v>111</v>
      </c>
      <c r="E3" t="s">
        <v>112</v>
      </c>
      <c r="F3" t="s">
        <v>113</v>
      </c>
    </row>
    <row r="4" spans="1:6" x14ac:dyDescent="0.25">
      <c r="A4">
        <v>3</v>
      </c>
      <c r="B4" s="2">
        <v>46113</v>
      </c>
      <c r="C4" t="s">
        <v>114</v>
      </c>
      <c r="D4" t="s">
        <v>115</v>
      </c>
      <c r="E4" t="s">
        <v>116</v>
      </c>
      <c r="F4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253C-167D-4298-8693-9C1E307EBB1A}">
  <dimension ref="A1:J124"/>
  <sheetViews>
    <sheetView showGridLines="0" workbookViewId="0">
      <pane ySplit="5" topLeftCell="A6" activePane="bottomLeft" state="frozen"/>
      <selection activeCell="E21" sqref="E21"/>
      <selection pane="bottomLeft" activeCell="G12" sqref="G12"/>
    </sheetView>
  </sheetViews>
  <sheetFormatPr defaultRowHeight="15" x14ac:dyDescent="0.25"/>
  <cols>
    <col min="1" max="1" width="40" customWidth="1"/>
    <col min="2" max="10" width="17.140625" customWidth="1"/>
  </cols>
  <sheetData>
    <row r="1" spans="1:9" ht="21.95" customHeight="1" x14ac:dyDescent="0.3">
      <c r="A1" s="70" t="s">
        <v>9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5" t="s">
        <v>10</v>
      </c>
      <c r="B2" s="75"/>
      <c r="C2" s="75"/>
      <c r="D2" s="75"/>
      <c r="E2" s="75"/>
      <c r="F2" s="75"/>
      <c r="G2" s="75"/>
      <c r="H2" s="75"/>
      <c r="I2" s="75"/>
    </row>
    <row r="4" spans="1:9" x14ac:dyDescent="0.25">
      <c r="A4" s="3" t="s">
        <v>11</v>
      </c>
      <c r="B4" s="4">
        <v>2</v>
      </c>
      <c r="C4" s="5" t="s">
        <v>12</v>
      </c>
    </row>
    <row r="5" spans="1:9" x14ac:dyDescent="0.25">
      <c r="A5" s="3" t="s">
        <v>13</v>
      </c>
      <c r="B5" s="6" t="str">
        <f>IF(B4=1,"Bear",IF(B4=2,"Base","Bull"))</f>
        <v>Base</v>
      </c>
    </row>
    <row r="6" spans="1:9" ht="15.75" thickBot="1" x14ac:dyDescent="0.3"/>
    <row r="7" spans="1:9" ht="21.95" customHeight="1" x14ac:dyDescent="0.25">
      <c r="A7" s="72" t="s">
        <v>14</v>
      </c>
      <c r="B7" s="73"/>
      <c r="C7" s="71"/>
      <c r="D7" s="71"/>
      <c r="E7" s="71"/>
      <c r="F7" s="71"/>
      <c r="G7" s="71"/>
      <c r="H7" s="71"/>
      <c r="I7" s="71"/>
    </row>
    <row r="8" spans="1:9" x14ac:dyDescent="0.25">
      <c r="A8" s="22" t="s">
        <v>15</v>
      </c>
      <c r="B8" s="25" t="s">
        <v>16</v>
      </c>
    </row>
    <row r="9" spans="1:9" x14ac:dyDescent="0.25">
      <c r="A9" s="23" t="s">
        <v>17</v>
      </c>
      <c r="B9" s="26">
        <f>B95</f>
        <v>1752.461902729151</v>
      </c>
    </row>
    <row r="10" spans="1:9" x14ac:dyDescent="0.25">
      <c r="A10" s="23" t="s">
        <v>18</v>
      </c>
      <c r="B10" s="27">
        <v>50</v>
      </c>
    </row>
    <row r="11" spans="1:9" x14ac:dyDescent="0.25">
      <c r="A11" s="23" t="s">
        <v>19</v>
      </c>
      <c r="B11" s="26">
        <f>B92</f>
        <v>1902.461902729151</v>
      </c>
    </row>
    <row r="12" spans="1:9" ht="15.75" thickBot="1" x14ac:dyDescent="0.3">
      <c r="A12" s="24" t="s">
        <v>20</v>
      </c>
      <c r="B12" s="28">
        <v>150</v>
      </c>
    </row>
    <row r="13" spans="1:9" ht="15.75" thickBot="1" x14ac:dyDescent="0.3"/>
    <row r="14" spans="1:9" ht="21.95" customHeight="1" x14ac:dyDescent="0.25">
      <c r="A14" s="80" t="s">
        <v>21</v>
      </c>
      <c r="B14" s="81"/>
      <c r="C14" s="81"/>
      <c r="D14" s="81"/>
      <c r="E14" s="81"/>
      <c r="F14" s="81"/>
      <c r="G14" s="81"/>
      <c r="H14" s="82"/>
    </row>
    <row r="15" spans="1:9" x14ac:dyDescent="0.25">
      <c r="A15" s="22" t="s">
        <v>22</v>
      </c>
      <c r="B15" s="7" t="s">
        <v>23</v>
      </c>
      <c r="C15" s="7" t="s">
        <v>24</v>
      </c>
      <c r="D15" s="7" t="s">
        <v>25</v>
      </c>
      <c r="E15" s="7" t="s">
        <v>26</v>
      </c>
      <c r="F15" s="7" t="s">
        <v>27</v>
      </c>
      <c r="G15" s="7" t="s">
        <v>28</v>
      </c>
      <c r="H15" s="25" t="s">
        <v>29</v>
      </c>
    </row>
    <row r="16" spans="1:9" x14ac:dyDescent="0.25">
      <c r="A16" s="23" t="s">
        <v>30</v>
      </c>
      <c r="B16" s="9">
        <v>0.08</v>
      </c>
      <c r="C16" s="9">
        <v>7.0000000000000007E-2</v>
      </c>
      <c r="D16" s="9">
        <v>0.06</v>
      </c>
      <c r="E16" s="9">
        <v>0.05</v>
      </c>
      <c r="F16" s="9">
        <v>0.04</v>
      </c>
      <c r="G16" s="9">
        <v>2.5000000000000001E-2</v>
      </c>
      <c r="H16" s="30">
        <v>0.11</v>
      </c>
    </row>
    <row r="17" spans="1:8" x14ac:dyDescent="0.25">
      <c r="A17" s="23" t="s">
        <v>31</v>
      </c>
      <c r="B17" s="9">
        <v>0.15</v>
      </c>
      <c r="C17" s="9">
        <v>0.155</v>
      </c>
      <c r="D17" s="9">
        <v>0.16</v>
      </c>
      <c r="E17" s="9">
        <v>0.16</v>
      </c>
      <c r="F17" s="9">
        <v>0.16500000000000001</v>
      </c>
      <c r="G17" s="9"/>
      <c r="H17" s="30"/>
    </row>
    <row r="18" spans="1:8" x14ac:dyDescent="0.25">
      <c r="A18" s="23" t="s">
        <v>32</v>
      </c>
      <c r="B18" s="9">
        <v>0.5</v>
      </c>
      <c r="C18" s="9">
        <v>0.5</v>
      </c>
      <c r="D18" s="9">
        <v>0.51</v>
      </c>
      <c r="E18" s="9">
        <v>0.51</v>
      </c>
      <c r="F18" s="9">
        <v>0.52</v>
      </c>
      <c r="G18" s="9"/>
      <c r="H18" s="30"/>
    </row>
    <row r="19" spans="1:8" x14ac:dyDescent="0.25">
      <c r="A19" s="23" t="s">
        <v>33</v>
      </c>
      <c r="B19" s="9">
        <v>0.25</v>
      </c>
      <c r="C19" s="9">
        <v>0.25</v>
      </c>
      <c r="D19" s="9">
        <v>0.25</v>
      </c>
      <c r="E19" s="9">
        <v>0.25</v>
      </c>
      <c r="F19" s="9">
        <v>0.25</v>
      </c>
      <c r="G19" s="9"/>
      <c r="H19" s="30"/>
    </row>
    <row r="20" spans="1:8" x14ac:dyDescent="0.25">
      <c r="A20" s="23" t="s">
        <v>34</v>
      </c>
      <c r="B20" s="9">
        <v>0.03</v>
      </c>
      <c r="C20" s="9">
        <v>0.03</v>
      </c>
      <c r="D20" s="9">
        <v>0.03</v>
      </c>
      <c r="E20" s="9">
        <v>0.03</v>
      </c>
      <c r="F20" s="9">
        <v>0.03</v>
      </c>
      <c r="G20" s="9"/>
      <c r="H20" s="30"/>
    </row>
    <row r="21" spans="1:8" x14ac:dyDescent="0.25">
      <c r="A21" s="23" t="s">
        <v>35</v>
      </c>
      <c r="B21" s="9">
        <v>0.05</v>
      </c>
      <c r="C21" s="9">
        <v>0.05</v>
      </c>
      <c r="D21" s="9">
        <v>0.04</v>
      </c>
      <c r="E21" s="9">
        <v>0.04</v>
      </c>
      <c r="F21" s="9">
        <v>0.04</v>
      </c>
      <c r="G21" s="9"/>
      <c r="H21" s="30"/>
    </row>
    <row r="22" spans="1:8" ht="15.75" thickBot="1" x14ac:dyDescent="0.3">
      <c r="A22" s="24" t="s">
        <v>36</v>
      </c>
      <c r="B22" s="29">
        <v>0.05</v>
      </c>
      <c r="C22" s="29">
        <v>0.05</v>
      </c>
      <c r="D22" s="29">
        <v>0.04</v>
      </c>
      <c r="E22" s="29">
        <v>0.04</v>
      </c>
      <c r="F22" s="29">
        <v>0.03</v>
      </c>
      <c r="G22" s="29"/>
      <c r="H22" s="31"/>
    </row>
    <row r="23" spans="1:8" ht="15.75" thickBot="1" x14ac:dyDescent="0.3"/>
    <row r="24" spans="1:8" ht="21.95" customHeight="1" x14ac:dyDescent="0.25">
      <c r="A24" s="72" t="s">
        <v>37</v>
      </c>
      <c r="B24" s="74"/>
      <c r="C24" s="74"/>
      <c r="D24" s="74"/>
      <c r="E24" s="74"/>
      <c r="F24" s="74"/>
      <c r="G24" s="74"/>
      <c r="H24" s="73"/>
    </row>
    <row r="25" spans="1:8" x14ac:dyDescent="0.25">
      <c r="A25" s="22" t="s">
        <v>22</v>
      </c>
      <c r="B25" s="7" t="s">
        <v>23</v>
      </c>
      <c r="C25" s="7" t="s">
        <v>24</v>
      </c>
      <c r="D25" s="7" t="s">
        <v>25</v>
      </c>
      <c r="E25" s="7" t="s">
        <v>26</v>
      </c>
      <c r="F25" s="7" t="s">
        <v>27</v>
      </c>
      <c r="G25" s="7" t="s">
        <v>28</v>
      </c>
      <c r="H25" s="25" t="s">
        <v>29</v>
      </c>
    </row>
    <row r="26" spans="1:8" x14ac:dyDescent="0.25">
      <c r="A26" s="23" t="s">
        <v>30</v>
      </c>
      <c r="B26" s="9">
        <v>0.12</v>
      </c>
      <c r="C26" s="9">
        <v>0.11</v>
      </c>
      <c r="D26" s="9">
        <v>0.1</v>
      </c>
      <c r="E26" s="9">
        <v>0.09</v>
      </c>
      <c r="F26" s="9">
        <v>0.08</v>
      </c>
      <c r="G26" s="9">
        <v>0.03</v>
      </c>
      <c r="H26" s="30">
        <v>0.1</v>
      </c>
    </row>
    <row r="27" spans="1:8" x14ac:dyDescent="0.25">
      <c r="A27" s="23" t="s">
        <v>31</v>
      </c>
      <c r="B27" s="9">
        <v>0.18</v>
      </c>
      <c r="C27" s="9">
        <v>0.19</v>
      </c>
      <c r="D27" s="9">
        <v>0.2</v>
      </c>
      <c r="E27" s="9">
        <v>0.21</v>
      </c>
      <c r="F27" s="9">
        <v>0.22</v>
      </c>
      <c r="G27" s="9"/>
      <c r="H27" s="30"/>
    </row>
    <row r="28" spans="1:8" x14ac:dyDescent="0.25">
      <c r="A28" s="23" t="s">
        <v>32</v>
      </c>
      <c r="B28" s="9">
        <v>0.55000000000000004</v>
      </c>
      <c r="C28" s="9">
        <v>0.56000000000000005</v>
      </c>
      <c r="D28" s="9">
        <v>0.56999999999999995</v>
      </c>
      <c r="E28" s="9">
        <v>0.56999999999999995</v>
      </c>
      <c r="F28" s="9">
        <v>0.57999999999999996</v>
      </c>
      <c r="G28" s="9"/>
      <c r="H28" s="30"/>
    </row>
    <row r="29" spans="1:8" x14ac:dyDescent="0.25">
      <c r="A29" s="23" t="s">
        <v>33</v>
      </c>
      <c r="B29" s="9">
        <v>0.25</v>
      </c>
      <c r="C29" s="9">
        <v>0.25</v>
      </c>
      <c r="D29" s="9">
        <v>0.25</v>
      </c>
      <c r="E29" s="9">
        <v>0.25</v>
      </c>
      <c r="F29" s="9">
        <v>0.25</v>
      </c>
      <c r="G29" s="9"/>
      <c r="H29" s="30"/>
    </row>
    <row r="30" spans="1:8" x14ac:dyDescent="0.25">
      <c r="A30" s="23" t="s">
        <v>34</v>
      </c>
      <c r="B30" s="9">
        <v>0.03</v>
      </c>
      <c r="C30" s="9">
        <v>0.03</v>
      </c>
      <c r="D30" s="9">
        <v>0.03</v>
      </c>
      <c r="E30" s="9">
        <v>0.03</v>
      </c>
      <c r="F30" s="9">
        <v>0.03</v>
      </c>
      <c r="G30" s="9"/>
      <c r="H30" s="30"/>
    </row>
    <row r="31" spans="1:8" x14ac:dyDescent="0.25">
      <c r="A31" s="23" t="s">
        <v>35</v>
      </c>
      <c r="B31" s="9">
        <v>4.4999999999999998E-2</v>
      </c>
      <c r="C31" s="9">
        <v>4.4999999999999998E-2</v>
      </c>
      <c r="D31" s="9">
        <v>0.04</v>
      </c>
      <c r="E31" s="9">
        <v>0.04</v>
      </c>
      <c r="F31" s="9">
        <v>0.04</v>
      </c>
      <c r="G31" s="9"/>
      <c r="H31" s="30"/>
    </row>
    <row r="32" spans="1:8" ht="15.75" thickBot="1" x14ac:dyDescent="0.3">
      <c r="A32" s="24" t="s">
        <v>36</v>
      </c>
      <c r="B32" s="29">
        <v>0.04</v>
      </c>
      <c r="C32" s="29">
        <v>0.04</v>
      </c>
      <c r="D32" s="29">
        <v>0.03</v>
      </c>
      <c r="E32" s="29">
        <v>0.03</v>
      </c>
      <c r="F32" s="29">
        <v>0.03</v>
      </c>
      <c r="G32" s="29"/>
      <c r="H32" s="31"/>
    </row>
    <row r="33" spans="1:8" ht="15.75" thickBot="1" x14ac:dyDescent="0.3"/>
    <row r="34" spans="1:8" ht="21.95" customHeight="1" x14ac:dyDescent="0.25">
      <c r="A34" s="83" t="s">
        <v>38</v>
      </c>
      <c r="B34" s="84"/>
      <c r="C34" s="84"/>
      <c r="D34" s="84"/>
      <c r="E34" s="84"/>
      <c r="F34" s="84"/>
      <c r="G34" s="84"/>
      <c r="H34" s="85"/>
    </row>
    <row r="35" spans="1:8" x14ac:dyDescent="0.25">
      <c r="A35" s="22" t="s">
        <v>22</v>
      </c>
      <c r="B35" s="7" t="s">
        <v>23</v>
      </c>
      <c r="C35" s="7" t="s">
        <v>24</v>
      </c>
      <c r="D35" s="7" t="s">
        <v>25</v>
      </c>
      <c r="E35" s="7" t="s">
        <v>26</v>
      </c>
      <c r="F35" s="7" t="s">
        <v>27</v>
      </c>
      <c r="G35" s="7" t="s">
        <v>28</v>
      </c>
      <c r="H35" s="25" t="s">
        <v>29</v>
      </c>
    </row>
    <row r="36" spans="1:8" x14ac:dyDescent="0.25">
      <c r="A36" s="23" t="s">
        <v>30</v>
      </c>
      <c r="B36" s="9">
        <v>0.18</v>
      </c>
      <c r="C36" s="9">
        <v>0.16</v>
      </c>
      <c r="D36" s="9">
        <v>0.14000000000000001</v>
      </c>
      <c r="E36" s="9">
        <v>0.12</v>
      </c>
      <c r="F36" s="9">
        <v>0.1</v>
      </c>
      <c r="G36" s="9">
        <v>3.5000000000000003E-2</v>
      </c>
      <c r="H36" s="30">
        <v>0.09</v>
      </c>
    </row>
    <row r="37" spans="1:8" x14ac:dyDescent="0.25">
      <c r="A37" s="23" t="s">
        <v>31</v>
      </c>
      <c r="B37" s="9">
        <v>0.22</v>
      </c>
      <c r="C37" s="9">
        <v>0.23</v>
      </c>
      <c r="D37" s="9">
        <v>0.24</v>
      </c>
      <c r="E37" s="9">
        <v>0.25</v>
      </c>
      <c r="F37" s="9">
        <v>0.26</v>
      </c>
      <c r="G37" s="9"/>
      <c r="H37" s="30"/>
    </row>
    <row r="38" spans="1:8" x14ac:dyDescent="0.25">
      <c r="A38" s="23" t="s">
        <v>32</v>
      </c>
      <c r="B38" s="9">
        <v>0.6</v>
      </c>
      <c r="C38" s="9">
        <v>0.61</v>
      </c>
      <c r="D38" s="9">
        <v>0.62</v>
      </c>
      <c r="E38" s="9">
        <v>0.63</v>
      </c>
      <c r="F38" s="9">
        <v>0.64</v>
      </c>
      <c r="G38" s="9"/>
      <c r="H38" s="30"/>
    </row>
    <row r="39" spans="1:8" x14ac:dyDescent="0.25">
      <c r="A39" s="23" t="s">
        <v>33</v>
      </c>
      <c r="B39" s="9">
        <v>0.25</v>
      </c>
      <c r="C39" s="9">
        <v>0.25</v>
      </c>
      <c r="D39" s="9">
        <v>0.25</v>
      </c>
      <c r="E39" s="9">
        <v>0.25</v>
      </c>
      <c r="F39" s="9">
        <v>0.25</v>
      </c>
      <c r="G39" s="9"/>
      <c r="H39" s="30"/>
    </row>
    <row r="40" spans="1:8" x14ac:dyDescent="0.25">
      <c r="A40" s="23" t="s">
        <v>34</v>
      </c>
      <c r="B40" s="9">
        <v>0.03</v>
      </c>
      <c r="C40" s="9">
        <v>0.03</v>
      </c>
      <c r="D40" s="9">
        <v>0.03</v>
      </c>
      <c r="E40" s="9">
        <v>0.03</v>
      </c>
      <c r="F40" s="9">
        <v>0.03</v>
      </c>
      <c r="G40" s="9"/>
      <c r="H40" s="30"/>
    </row>
    <row r="41" spans="1:8" x14ac:dyDescent="0.25">
      <c r="A41" s="23" t="s">
        <v>35</v>
      </c>
      <c r="B41" s="9">
        <v>0.04</v>
      </c>
      <c r="C41" s="9">
        <v>0.04</v>
      </c>
      <c r="D41" s="9">
        <v>3.5000000000000003E-2</v>
      </c>
      <c r="E41" s="9">
        <v>3.5000000000000003E-2</v>
      </c>
      <c r="F41" s="9">
        <v>3.5000000000000003E-2</v>
      </c>
      <c r="G41" s="9"/>
      <c r="H41" s="30"/>
    </row>
    <row r="42" spans="1:8" ht="15.75" thickBot="1" x14ac:dyDescent="0.3">
      <c r="A42" s="24" t="s">
        <v>36</v>
      </c>
      <c r="B42" s="29">
        <v>0.03</v>
      </c>
      <c r="C42" s="29">
        <v>0.03</v>
      </c>
      <c r="D42" s="29">
        <v>2.5000000000000001E-2</v>
      </c>
      <c r="E42" s="29">
        <v>2.5000000000000001E-2</v>
      </c>
      <c r="F42" s="29">
        <v>0.02</v>
      </c>
      <c r="G42" s="29"/>
      <c r="H42" s="31"/>
    </row>
    <row r="43" spans="1:8" ht="15.75" thickBot="1" x14ac:dyDescent="0.3"/>
    <row r="44" spans="1:8" ht="21.95" customHeight="1" x14ac:dyDescent="0.25">
      <c r="A44" s="72" t="s">
        <v>39</v>
      </c>
      <c r="B44" s="74"/>
      <c r="C44" s="74"/>
      <c r="D44" s="74"/>
      <c r="E44" s="74"/>
      <c r="F44" s="74"/>
      <c r="G44" s="74"/>
      <c r="H44" s="73"/>
    </row>
    <row r="45" spans="1:8" x14ac:dyDescent="0.25">
      <c r="A45" s="22" t="s">
        <v>22</v>
      </c>
      <c r="B45" s="7" t="s">
        <v>23</v>
      </c>
      <c r="C45" s="7" t="s">
        <v>24</v>
      </c>
      <c r="D45" s="7" t="s">
        <v>25</v>
      </c>
      <c r="E45" s="7" t="s">
        <v>26</v>
      </c>
      <c r="F45" s="7" t="s">
        <v>27</v>
      </c>
      <c r="G45" s="7" t="s">
        <v>28</v>
      </c>
      <c r="H45" s="25" t="s">
        <v>29</v>
      </c>
    </row>
    <row r="46" spans="1:8" x14ac:dyDescent="0.25">
      <c r="A46" s="23" t="s">
        <v>30</v>
      </c>
      <c r="B46" s="32">
        <f t="shared" ref="B46:H52" si="0">CHOOSE($B$4,B16,B26,B36)</f>
        <v>0.12</v>
      </c>
      <c r="C46" s="32">
        <f t="shared" si="0"/>
        <v>0.11</v>
      </c>
      <c r="D46" s="32">
        <f t="shared" si="0"/>
        <v>0.1</v>
      </c>
      <c r="E46" s="32">
        <f t="shared" si="0"/>
        <v>0.09</v>
      </c>
      <c r="F46" s="32">
        <f t="shared" si="0"/>
        <v>0.08</v>
      </c>
      <c r="G46" s="32">
        <f t="shared" si="0"/>
        <v>0.03</v>
      </c>
      <c r="H46" s="34">
        <f t="shared" si="0"/>
        <v>0.1</v>
      </c>
    </row>
    <row r="47" spans="1:8" x14ac:dyDescent="0.25">
      <c r="A47" s="23" t="s">
        <v>31</v>
      </c>
      <c r="B47" s="32">
        <f t="shared" si="0"/>
        <v>0.18</v>
      </c>
      <c r="C47" s="32">
        <f t="shared" si="0"/>
        <v>0.19</v>
      </c>
      <c r="D47" s="32">
        <f t="shared" si="0"/>
        <v>0.2</v>
      </c>
      <c r="E47" s="32">
        <f t="shared" si="0"/>
        <v>0.21</v>
      </c>
      <c r="F47" s="32">
        <f t="shared" si="0"/>
        <v>0.22</v>
      </c>
      <c r="G47" s="32">
        <f t="shared" si="0"/>
        <v>0</v>
      </c>
      <c r="H47" s="34">
        <f t="shared" si="0"/>
        <v>0</v>
      </c>
    </row>
    <row r="48" spans="1:8" x14ac:dyDescent="0.25">
      <c r="A48" s="23" t="s">
        <v>32</v>
      </c>
      <c r="B48" s="32">
        <f t="shared" si="0"/>
        <v>0.55000000000000004</v>
      </c>
      <c r="C48" s="32">
        <f t="shared" si="0"/>
        <v>0.56000000000000005</v>
      </c>
      <c r="D48" s="32">
        <f t="shared" si="0"/>
        <v>0.56999999999999995</v>
      </c>
      <c r="E48" s="32">
        <f t="shared" si="0"/>
        <v>0.56999999999999995</v>
      </c>
      <c r="F48" s="32">
        <f t="shared" si="0"/>
        <v>0.57999999999999996</v>
      </c>
      <c r="G48" s="32">
        <f t="shared" si="0"/>
        <v>0</v>
      </c>
      <c r="H48" s="34">
        <f t="shared" si="0"/>
        <v>0</v>
      </c>
    </row>
    <row r="49" spans="1:10" x14ac:dyDescent="0.25">
      <c r="A49" s="23" t="s">
        <v>33</v>
      </c>
      <c r="B49" s="32">
        <f t="shared" si="0"/>
        <v>0.25</v>
      </c>
      <c r="C49" s="32">
        <f t="shared" si="0"/>
        <v>0.25</v>
      </c>
      <c r="D49" s="32">
        <f t="shared" si="0"/>
        <v>0.25</v>
      </c>
      <c r="E49" s="32">
        <f t="shared" si="0"/>
        <v>0.25</v>
      </c>
      <c r="F49" s="32">
        <f t="shared" si="0"/>
        <v>0.25</v>
      </c>
      <c r="G49" s="32">
        <f t="shared" si="0"/>
        <v>0</v>
      </c>
      <c r="H49" s="34">
        <f t="shared" si="0"/>
        <v>0</v>
      </c>
    </row>
    <row r="50" spans="1:10" x14ac:dyDescent="0.25">
      <c r="A50" s="23" t="s">
        <v>34</v>
      </c>
      <c r="B50" s="32">
        <f t="shared" si="0"/>
        <v>0.03</v>
      </c>
      <c r="C50" s="32">
        <f t="shared" si="0"/>
        <v>0.03</v>
      </c>
      <c r="D50" s="32">
        <f t="shared" si="0"/>
        <v>0.03</v>
      </c>
      <c r="E50" s="32">
        <f t="shared" si="0"/>
        <v>0.03</v>
      </c>
      <c r="F50" s="32">
        <f t="shared" si="0"/>
        <v>0.03</v>
      </c>
      <c r="G50" s="32">
        <f t="shared" si="0"/>
        <v>0</v>
      </c>
      <c r="H50" s="34">
        <f t="shared" si="0"/>
        <v>0</v>
      </c>
    </row>
    <row r="51" spans="1:10" x14ac:dyDescent="0.25">
      <c r="A51" s="23" t="s">
        <v>35</v>
      </c>
      <c r="B51" s="32">
        <f t="shared" si="0"/>
        <v>4.4999999999999998E-2</v>
      </c>
      <c r="C51" s="32">
        <f t="shared" si="0"/>
        <v>4.4999999999999998E-2</v>
      </c>
      <c r="D51" s="32">
        <f t="shared" si="0"/>
        <v>0.04</v>
      </c>
      <c r="E51" s="32">
        <f t="shared" si="0"/>
        <v>0.04</v>
      </c>
      <c r="F51" s="32">
        <f t="shared" si="0"/>
        <v>0.04</v>
      </c>
      <c r="G51" s="32">
        <f t="shared" si="0"/>
        <v>0</v>
      </c>
      <c r="H51" s="34">
        <f t="shared" si="0"/>
        <v>0</v>
      </c>
    </row>
    <row r="52" spans="1:10" ht="15.75" thickBot="1" x14ac:dyDescent="0.3">
      <c r="A52" s="24" t="s">
        <v>36</v>
      </c>
      <c r="B52" s="33">
        <f t="shared" si="0"/>
        <v>0.04</v>
      </c>
      <c r="C52" s="33">
        <f t="shared" si="0"/>
        <v>0.04</v>
      </c>
      <c r="D52" s="33">
        <f t="shared" si="0"/>
        <v>0.03</v>
      </c>
      <c r="E52" s="33">
        <f t="shared" si="0"/>
        <v>0.03</v>
      </c>
      <c r="F52" s="33">
        <f t="shared" si="0"/>
        <v>0.03</v>
      </c>
      <c r="G52" s="33">
        <f t="shared" si="0"/>
        <v>0</v>
      </c>
      <c r="H52" s="35">
        <f t="shared" si="0"/>
        <v>0</v>
      </c>
    </row>
    <row r="53" spans="1:10" ht="15.75" thickBot="1" x14ac:dyDescent="0.3"/>
    <row r="54" spans="1:10" ht="21.95" customHeight="1" x14ac:dyDescent="0.25">
      <c r="A54" s="72" t="s">
        <v>40</v>
      </c>
      <c r="B54" s="74"/>
      <c r="C54" s="74"/>
      <c r="D54" s="74"/>
      <c r="E54" s="74"/>
      <c r="F54" s="74"/>
      <c r="G54" s="74"/>
      <c r="H54" s="74"/>
      <c r="I54" s="74"/>
      <c r="J54" s="42"/>
    </row>
    <row r="55" spans="1:10" x14ac:dyDescent="0.25">
      <c r="A55" s="22"/>
      <c r="B55" s="7" t="s">
        <v>41</v>
      </c>
      <c r="C55" s="7" t="s">
        <v>42</v>
      </c>
      <c r="D55" s="7" t="s">
        <v>43</v>
      </c>
      <c r="E55" s="7" t="s">
        <v>44</v>
      </c>
      <c r="F55" s="7" t="s">
        <v>23</v>
      </c>
      <c r="G55" s="7" t="s">
        <v>24</v>
      </c>
      <c r="H55" s="7" t="s">
        <v>25</v>
      </c>
      <c r="I55" s="7" t="s">
        <v>26</v>
      </c>
      <c r="J55" s="25" t="s">
        <v>27</v>
      </c>
    </row>
    <row r="56" spans="1:10" x14ac:dyDescent="0.25">
      <c r="A56" s="23" t="s">
        <v>45</v>
      </c>
      <c r="B56" s="36">
        <v>350</v>
      </c>
      <c r="C56" s="36">
        <v>390</v>
      </c>
      <c r="D56" s="36">
        <v>430</v>
      </c>
      <c r="E56" s="36">
        <v>480</v>
      </c>
      <c r="F56" s="21">
        <f>E56*(1+B46)</f>
        <v>537.6</v>
      </c>
      <c r="G56" s="21">
        <f>F56*(1+C46)</f>
        <v>596.7360000000001</v>
      </c>
      <c r="H56" s="21">
        <f>G56*(1+D46)</f>
        <v>656.40960000000018</v>
      </c>
      <c r="I56" s="21">
        <f>H56*(1+E46)</f>
        <v>715.4864640000003</v>
      </c>
      <c r="J56" s="26">
        <f>I56*(1+F46)</f>
        <v>772.72538112000041</v>
      </c>
    </row>
    <row r="57" spans="1:10" x14ac:dyDescent="0.25">
      <c r="A57" s="39" t="s">
        <v>46</v>
      </c>
      <c r="C57" s="10">
        <f t="shared" ref="C57:J57" si="1">C56/B56-1</f>
        <v>0.11428571428571432</v>
      </c>
      <c r="D57" s="10">
        <f t="shared" si="1"/>
        <v>0.10256410256410264</v>
      </c>
      <c r="E57" s="10">
        <f t="shared" si="1"/>
        <v>0.11627906976744184</v>
      </c>
      <c r="F57" s="10">
        <f t="shared" si="1"/>
        <v>0.12000000000000011</v>
      </c>
      <c r="G57" s="10">
        <f t="shared" si="1"/>
        <v>0.1100000000000001</v>
      </c>
      <c r="H57" s="10">
        <f t="shared" si="1"/>
        <v>0.10000000000000009</v>
      </c>
      <c r="I57" s="10">
        <f t="shared" si="1"/>
        <v>9.000000000000008E-2</v>
      </c>
      <c r="J57" s="43">
        <f t="shared" si="1"/>
        <v>8.0000000000000071E-2</v>
      </c>
    </row>
    <row r="58" spans="1:10" x14ac:dyDescent="0.25">
      <c r="A58" s="23" t="s">
        <v>47</v>
      </c>
      <c r="B58" s="37">
        <v>-175</v>
      </c>
      <c r="C58" s="37">
        <v>-191</v>
      </c>
      <c r="D58" s="37">
        <v>-205</v>
      </c>
      <c r="E58" s="37">
        <v>-226</v>
      </c>
      <c r="F58" s="11">
        <f>-F56*(1-B48)</f>
        <v>-241.92</v>
      </c>
      <c r="G58" s="11">
        <f>-G56*(1-C48)</f>
        <v>-262.56384000000003</v>
      </c>
      <c r="H58" s="11">
        <f>-H56*(1-D48)</f>
        <v>-282.2561280000001</v>
      </c>
      <c r="I58" s="11">
        <f>-I56*(1-E48)</f>
        <v>-307.65917952000018</v>
      </c>
      <c r="J58" s="44">
        <f>-J56*(1-F48)</f>
        <v>-324.5446600704002</v>
      </c>
    </row>
    <row r="59" spans="1:10" ht="15.75" thickBot="1" x14ac:dyDescent="0.3">
      <c r="A59" s="41" t="s">
        <v>48</v>
      </c>
      <c r="B59" s="47">
        <f>B56+B58</f>
        <v>175</v>
      </c>
      <c r="C59" s="47">
        <f t="shared" ref="C59:J59" si="2">C56+C58</f>
        <v>199</v>
      </c>
      <c r="D59" s="47">
        <f t="shared" si="2"/>
        <v>225</v>
      </c>
      <c r="E59" s="47">
        <f t="shared" si="2"/>
        <v>254</v>
      </c>
      <c r="F59" s="47">
        <f t="shared" si="2"/>
        <v>295.68000000000006</v>
      </c>
      <c r="G59" s="47">
        <f t="shared" si="2"/>
        <v>334.17216000000008</v>
      </c>
      <c r="H59" s="47">
        <f t="shared" si="2"/>
        <v>374.15347200000008</v>
      </c>
      <c r="I59" s="47">
        <f t="shared" si="2"/>
        <v>407.82728448000012</v>
      </c>
      <c r="J59" s="48">
        <f t="shared" si="2"/>
        <v>448.18072104960021</v>
      </c>
    </row>
    <row r="60" spans="1:10" x14ac:dyDescent="0.25">
      <c r="A60" s="39" t="s">
        <v>49</v>
      </c>
      <c r="B60" s="10">
        <f>B59/B56</f>
        <v>0.5</v>
      </c>
      <c r="C60" s="10">
        <f t="shared" ref="C60:J60" si="3">C59/C56</f>
        <v>0.51025641025641022</v>
      </c>
      <c r="D60" s="10">
        <f t="shared" si="3"/>
        <v>0.52325581395348841</v>
      </c>
      <c r="E60" s="10">
        <f t="shared" si="3"/>
        <v>0.52916666666666667</v>
      </c>
      <c r="F60" s="10">
        <f t="shared" si="3"/>
        <v>0.55000000000000004</v>
      </c>
      <c r="G60" s="10">
        <f t="shared" si="3"/>
        <v>0.56000000000000005</v>
      </c>
      <c r="H60" s="10">
        <f t="shared" si="3"/>
        <v>0.56999999999999995</v>
      </c>
      <c r="I60" s="10">
        <f t="shared" si="3"/>
        <v>0.56999999999999995</v>
      </c>
      <c r="J60" s="43">
        <f t="shared" si="3"/>
        <v>0.57999999999999996</v>
      </c>
    </row>
    <row r="61" spans="1:10" x14ac:dyDescent="0.25">
      <c r="A61" s="23"/>
      <c r="J61" s="45"/>
    </row>
    <row r="62" spans="1:10" x14ac:dyDescent="0.25">
      <c r="A62" s="23" t="s">
        <v>50</v>
      </c>
      <c r="B62" s="37">
        <v>-70</v>
      </c>
      <c r="C62" s="37">
        <v>-74</v>
      </c>
      <c r="D62" s="37">
        <v>-79</v>
      </c>
      <c r="E62" s="37">
        <v>-86</v>
      </c>
      <c r="F62" s="11">
        <f>-F56*0.17</f>
        <v>-91.39200000000001</v>
      </c>
      <c r="G62" s="11">
        <f>-G56*0.165</f>
        <v>-98.461440000000024</v>
      </c>
      <c r="H62" s="11">
        <f>-H56*0.16</f>
        <v>-105.02553600000003</v>
      </c>
      <c r="I62" s="11">
        <f>-I56*0.155</f>
        <v>-110.90040192000005</v>
      </c>
      <c r="J62" s="44">
        <f>-J56*0.15</f>
        <v>-115.90880716800005</v>
      </c>
    </row>
    <row r="63" spans="1:10" x14ac:dyDescent="0.25">
      <c r="A63" s="23" t="s">
        <v>51</v>
      </c>
      <c r="B63" s="37">
        <v>-42</v>
      </c>
      <c r="C63" s="37">
        <v>-47</v>
      </c>
      <c r="D63" s="37">
        <v>-52</v>
      </c>
      <c r="E63" s="37">
        <v>-58</v>
      </c>
      <c r="F63" s="11">
        <f>-F56*0.11</f>
        <v>-59.136000000000003</v>
      </c>
      <c r="G63" s="11">
        <f>-G56*0.105</f>
        <v>-62.657280000000007</v>
      </c>
      <c r="H63" s="11">
        <f>-H56*0.1</f>
        <v>-65.640960000000021</v>
      </c>
      <c r="I63" s="11">
        <f>-I56*0.095</f>
        <v>-67.971214080000024</v>
      </c>
      <c r="J63" s="44">
        <f>-J56*0.09</f>
        <v>-69.545284300800034</v>
      </c>
    </row>
    <row r="64" spans="1:10" x14ac:dyDescent="0.25">
      <c r="A64" s="23" t="s">
        <v>52</v>
      </c>
      <c r="B64" s="37">
        <v>-28</v>
      </c>
      <c r="C64" s="37">
        <v>-29</v>
      </c>
      <c r="D64" s="37">
        <v>-32</v>
      </c>
      <c r="E64" s="37">
        <v>-34</v>
      </c>
      <c r="F64" s="11">
        <f>-F56*0.065</f>
        <v>-34.944000000000003</v>
      </c>
      <c r="G64" s="11">
        <f>-G56*0.06</f>
        <v>-35.804160000000003</v>
      </c>
      <c r="H64" s="11">
        <f>-H56*0.058</f>
        <v>-38.07175680000001</v>
      </c>
      <c r="I64" s="11">
        <f>-I56*0.055</f>
        <v>-39.351755520000019</v>
      </c>
      <c r="J64" s="44">
        <f>-J56*0.052</f>
        <v>-40.181719818240019</v>
      </c>
    </row>
    <row r="65" spans="1:10" ht="15.75" thickBot="1" x14ac:dyDescent="0.3">
      <c r="A65" s="41" t="s">
        <v>53</v>
      </c>
      <c r="B65" s="38">
        <f>B62+B63+B64</f>
        <v>-140</v>
      </c>
      <c r="C65" s="38">
        <f t="shared" ref="C65:J65" si="4">C62+C63+C64</f>
        <v>-150</v>
      </c>
      <c r="D65" s="38">
        <f t="shared" si="4"/>
        <v>-163</v>
      </c>
      <c r="E65" s="38">
        <f t="shared" si="4"/>
        <v>-178</v>
      </c>
      <c r="F65" s="38">
        <f t="shared" si="4"/>
        <v>-185.47200000000004</v>
      </c>
      <c r="G65" s="38">
        <f t="shared" si="4"/>
        <v>-196.92288000000002</v>
      </c>
      <c r="H65" s="38">
        <f t="shared" si="4"/>
        <v>-208.73825280000005</v>
      </c>
      <c r="I65" s="38">
        <f t="shared" si="4"/>
        <v>-218.22337152000009</v>
      </c>
      <c r="J65" s="46">
        <f t="shared" si="4"/>
        <v>-225.6358112870401</v>
      </c>
    </row>
    <row r="66" spans="1:10" x14ac:dyDescent="0.25">
      <c r="A66" s="23"/>
      <c r="J66" s="45"/>
    </row>
    <row r="67" spans="1:10" ht="15.75" thickBot="1" x14ac:dyDescent="0.3">
      <c r="A67" s="41" t="s">
        <v>54</v>
      </c>
      <c r="B67" s="38">
        <f>B59+B65</f>
        <v>35</v>
      </c>
      <c r="C67" s="38">
        <f t="shared" ref="C67:J67" si="5">C59+C65</f>
        <v>49</v>
      </c>
      <c r="D67" s="38">
        <f t="shared" si="5"/>
        <v>62</v>
      </c>
      <c r="E67" s="38">
        <f t="shared" si="5"/>
        <v>76</v>
      </c>
      <c r="F67" s="38">
        <f t="shared" si="5"/>
        <v>110.20800000000003</v>
      </c>
      <c r="G67" s="38">
        <f t="shared" si="5"/>
        <v>137.24928000000006</v>
      </c>
      <c r="H67" s="38">
        <f t="shared" si="5"/>
        <v>165.41521920000002</v>
      </c>
      <c r="I67" s="38">
        <f t="shared" si="5"/>
        <v>189.60391296000003</v>
      </c>
      <c r="J67" s="46">
        <f t="shared" si="5"/>
        <v>222.54490976256011</v>
      </c>
    </row>
    <row r="68" spans="1:10" x14ac:dyDescent="0.25">
      <c r="A68" s="39" t="s">
        <v>49</v>
      </c>
      <c r="B68" s="10">
        <f>B67/B56</f>
        <v>0.1</v>
      </c>
      <c r="C68" s="10">
        <f t="shared" ref="C68:J68" si="6">C67/C56</f>
        <v>0.12564102564102564</v>
      </c>
      <c r="D68" s="10">
        <f t="shared" si="6"/>
        <v>0.14418604651162792</v>
      </c>
      <c r="E68" s="10">
        <f t="shared" si="6"/>
        <v>0.15833333333333333</v>
      </c>
      <c r="F68" s="10">
        <f t="shared" si="6"/>
        <v>0.20500000000000004</v>
      </c>
      <c r="G68" s="10">
        <f t="shared" si="6"/>
        <v>0.23000000000000007</v>
      </c>
      <c r="H68" s="10">
        <f t="shared" si="6"/>
        <v>0.25199999999999995</v>
      </c>
      <c r="I68" s="10">
        <f t="shared" si="6"/>
        <v>0.26499999999999996</v>
      </c>
      <c r="J68" s="43">
        <f t="shared" si="6"/>
        <v>0.28799999999999998</v>
      </c>
    </row>
    <row r="69" spans="1:10" x14ac:dyDescent="0.25">
      <c r="A69" s="23" t="s">
        <v>55</v>
      </c>
      <c r="B69" s="11">
        <f>-ABS(B67)*0.25</f>
        <v>-8.75</v>
      </c>
      <c r="C69" s="11">
        <f>-ABS(C67)*0.25</f>
        <v>-12.25</v>
      </c>
      <c r="D69" s="11">
        <f>-ABS(D67)*0.25</f>
        <v>-15.5</v>
      </c>
      <c r="E69" s="11">
        <f>-ABS(E67)*0.25</f>
        <v>-19</v>
      </c>
      <c r="F69" s="11">
        <f>-ABS(F67)*B49</f>
        <v>-27.552000000000007</v>
      </c>
      <c r="G69" s="11">
        <f>-ABS(G67)*C49</f>
        <v>-34.312320000000014</v>
      </c>
      <c r="H69" s="11">
        <f>-ABS(H67)*D49</f>
        <v>-41.353804800000006</v>
      </c>
      <c r="I69" s="11">
        <f>-ABS(I67)*E49</f>
        <v>-47.400978240000008</v>
      </c>
      <c r="J69" s="44">
        <f>-ABS(J67)*F49</f>
        <v>-55.636227440640027</v>
      </c>
    </row>
    <row r="70" spans="1:10" ht="15.75" thickBot="1" x14ac:dyDescent="0.3">
      <c r="A70" s="41" t="s">
        <v>56</v>
      </c>
      <c r="B70" s="38">
        <f>B67+B69</f>
        <v>26.25</v>
      </c>
      <c r="C70" s="38">
        <f t="shared" ref="C70:J70" si="7">C67+C69</f>
        <v>36.75</v>
      </c>
      <c r="D70" s="38">
        <f t="shared" si="7"/>
        <v>46.5</v>
      </c>
      <c r="E70" s="38">
        <f t="shared" si="7"/>
        <v>57</v>
      </c>
      <c r="F70" s="38">
        <f t="shared" si="7"/>
        <v>82.65600000000002</v>
      </c>
      <c r="G70" s="38">
        <f t="shared" si="7"/>
        <v>102.93696000000004</v>
      </c>
      <c r="H70" s="38">
        <f t="shared" si="7"/>
        <v>124.06141440000002</v>
      </c>
      <c r="I70" s="38">
        <f t="shared" si="7"/>
        <v>142.20293472000003</v>
      </c>
      <c r="J70" s="46">
        <f t="shared" si="7"/>
        <v>166.90868232192008</v>
      </c>
    </row>
    <row r="71" spans="1:10" ht="15.75" thickBot="1" x14ac:dyDescent="0.3"/>
    <row r="72" spans="1:10" ht="21.95" customHeight="1" x14ac:dyDescent="0.25">
      <c r="A72" s="72" t="s">
        <v>57</v>
      </c>
      <c r="B72" s="74"/>
      <c r="C72" s="74"/>
      <c r="D72" s="74"/>
      <c r="E72" s="74"/>
      <c r="F72" s="74"/>
      <c r="G72" s="74"/>
      <c r="H72" s="74"/>
      <c r="I72" s="74"/>
      <c r="J72" s="73"/>
    </row>
    <row r="73" spans="1:10" x14ac:dyDescent="0.25">
      <c r="A73" s="23" t="s">
        <v>56</v>
      </c>
      <c r="B73" s="11">
        <f>B70</f>
        <v>26.25</v>
      </c>
      <c r="C73" s="11">
        <f t="shared" ref="C73:J73" si="8">C70</f>
        <v>36.75</v>
      </c>
      <c r="D73" s="11">
        <f t="shared" si="8"/>
        <v>46.5</v>
      </c>
      <c r="E73" s="11">
        <f t="shared" si="8"/>
        <v>57</v>
      </c>
      <c r="F73" s="11">
        <f t="shared" si="8"/>
        <v>82.65600000000002</v>
      </c>
      <c r="G73" s="11">
        <f t="shared" si="8"/>
        <v>102.93696000000004</v>
      </c>
      <c r="H73" s="11">
        <f t="shared" si="8"/>
        <v>124.06141440000002</v>
      </c>
      <c r="I73" s="11">
        <f t="shared" si="8"/>
        <v>142.20293472000003</v>
      </c>
      <c r="J73" s="44">
        <f t="shared" si="8"/>
        <v>166.90868232192008</v>
      </c>
    </row>
    <row r="74" spans="1:10" x14ac:dyDescent="0.25">
      <c r="A74" s="23" t="s">
        <v>58</v>
      </c>
      <c r="B74" s="37">
        <v>11</v>
      </c>
      <c r="C74" s="37">
        <v>12</v>
      </c>
      <c r="D74" s="37">
        <v>13</v>
      </c>
      <c r="E74" s="37">
        <v>14</v>
      </c>
      <c r="F74" s="11">
        <f>F56*B50</f>
        <v>16.128</v>
      </c>
      <c r="G74" s="11">
        <f>G56*C50</f>
        <v>17.902080000000002</v>
      </c>
      <c r="H74" s="11">
        <f>H56*D50</f>
        <v>19.692288000000005</v>
      </c>
      <c r="I74" s="11">
        <f>I56*E50</f>
        <v>21.464593920000009</v>
      </c>
      <c r="J74" s="44">
        <f>J56*F50</f>
        <v>23.181761433600013</v>
      </c>
    </row>
    <row r="75" spans="1:10" x14ac:dyDescent="0.25">
      <c r="A75" s="23" t="s">
        <v>59</v>
      </c>
      <c r="B75" s="37">
        <v>-18</v>
      </c>
      <c r="C75" s="37">
        <v>-20</v>
      </c>
      <c r="D75" s="37">
        <v>-22</v>
      </c>
      <c r="E75" s="37">
        <v>-24</v>
      </c>
      <c r="F75" s="11">
        <f>-F56*B51</f>
        <v>-24.192</v>
      </c>
      <c r="G75" s="11">
        <f>-G56*C51</f>
        <v>-26.853120000000004</v>
      </c>
      <c r="H75" s="11">
        <f>-H56*D51</f>
        <v>-26.256384000000008</v>
      </c>
      <c r="I75" s="11">
        <f>-I56*E51</f>
        <v>-28.619458560000012</v>
      </c>
      <c r="J75" s="44">
        <f>-J56*F51</f>
        <v>-30.909015244800017</v>
      </c>
    </row>
    <row r="76" spans="1:10" x14ac:dyDescent="0.25">
      <c r="A76" s="23" t="s">
        <v>60</v>
      </c>
      <c r="B76" s="37">
        <v>-4</v>
      </c>
      <c r="C76" s="37">
        <v>-3</v>
      </c>
      <c r="D76" s="37">
        <v>-3</v>
      </c>
      <c r="E76" s="37">
        <v>-4</v>
      </c>
      <c r="F76" s="11">
        <f>-(F56-E56)*B52</f>
        <v>-2.3040000000000012</v>
      </c>
      <c r="G76" s="11">
        <f>-(G56-F56)*C52</f>
        <v>-2.3654400000000031</v>
      </c>
      <c r="H76" s="11">
        <f>-(H56-G56)*D52</f>
        <v>-1.7902080000000022</v>
      </c>
      <c r="I76" s="11">
        <f>-(I56-H56)*E52</f>
        <v>-1.7723059200000033</v>
      </c>
      <c r="J76" s="44">
        <f>-(J56-I56)*F52</f>
        <v>-1.7171675136000033</v>
      </c>
    </row>
    <row r="77" spans="1:10" ht="15.75" thickBot="1" x14ac:dyDescent="0.3">
      <c r="A77" s="41" t="s">
        <v>61</v>
      </c>
      <c r="B77" s="52">
        <f>B73+B74+B75+B76</f>
        <v>15.25</v>
      </c>
      <c r="C77" s="52">
        <f t="shared" ref="C77:J77" si="9">C73+C74+C75+C76</f>
        <v>25.75</v>
      </c>
      <c r="D77" s="52">
        <f t="shared" si="9"/>
        <v>34.5</v>
      </c>
      <c r="E77" s="52">
        <f t="shared" si="9"/>
        <v>43</v>
      </c>
      <c r="F77" s="52">
        <f t="shared" si="9"/>
        <v>72.288000000000011</v>
      </c>
      <c r="G77" s="52">
        <f t="shared" si="9"/>
        <v>91.620480000000029</v>
      </c>
      <c r="H77" s="52">
        <f t="shared" si="9"/>
        <v>115.70711039999999</v>
      </c>
      <c r="I77" s="52">
        <f t="shared" si="9"/>
        <v>133.27576415999999</v>
      </c>
      <c r="J77" s="53">
        <f t="shared" si="9"/>
        <v>157.46426099712008</v>
      </c>
    </row>
    <row r="78" spans="1:10" ht="15.75" thickBot="1" x14ac:dyDescent="0.3">
      <c r="A78" s="50" t="s">
        <v>49</v>
      </c>
      <c r="B78" s="49">
        <f>B77/B56</f>
        <v>4.3571428571428573E-2</v>
      </c>
      <c r="C78" s="49">
        <f t="shared" ref="C78:J78" si="10">C77/C56</f>
        <v>6.6025641025641027E-2</v>
      </c>
      <c r="D78" s="49">
        <f t="shared" si="10"/>
        <v>8.0232558139534879E-2</v>
      </c>
      <c r="E78" s="49">
        <f t="shared" si="10"/>
        <v>8.9583333333333334E-2</v>
      </c>
      <c r="F78" s="49">
        <f t="shared" si="10"/>
        <v>0.13446428571428573</v>
      </c>
      <c r="G78" s="49">
        <f t="shared" si="10"/>
        <v>0.15353603603603605</v>
      </c>
      <c r="H78" s="49">
        <f t="shared" si="10"/>
        <v>0.17627272727272722</v>
      </c>
      <c r="I78" s="49">
        <f t="shared" si="10"/>
        <v>0.18627293577981643</v>
      </c>
      <c r="J78" s="51">
        <f t="shared" si="10"/>
        <v>0.20377777777777778</v>
      </c>
    </row>
    <row r="79" spans="1:10" x14ac:dyDescent="0.25">
      <c r="A79" t="s">
        <v>62</v>
      </c>
      <c r="F79" s="12">
        <v>0.5</v>
      </c>
      <c r="G79" s="12">
        <v>1.5</v>
      </c>
      <c r="H79" s="12">
        <v>2.5</v>
      </c>
      <c r="I79" s="12">
        <v>3.5</v>
      </c>
      <c r="J79" s="12">
        <v>4.5</v>
      </c>
    </row>
    <row r="80" spans="1:10" x14ac:dyDescent="0.25">
      <c r="A80" t="s">
        <v>63</v>
      </c>
      <c r="F80" s="13">
        <f>1/(1+H46)^F79</f>
        <v>0.95346258924559224</v>
      </c>
      <c r="G80" s="13">
        <f>1/(1+H46)^G79</f>
        <v>0.86678417204144742</v>
      </c>
      <c r="H80" s="13">
        <f>1/(1+H46)^H79</f>
        <v>0.78798561094677033</v>
      </c>
      <c r="I80" s="13">
        <f>1/(1+H46)^I79</f>
        <v>0.71635055540615489</v>
      </c>
      <c r="J80" s="13">
        <f>1/(1+H46)^J79</f>
        <v>0.65122777764195883</v>
      </c>
    </row>
    <row r="81" spans="1:10" x14ac:dyDescent="0.25">
      <c r="A81" s="3" t="s">
        <v>64</v>
      </c>
      <c r="F81" s="11">
        <f>F77*F80</f>
        <v>68.923903651385388</v>
      </c>
      <c r="G81" s="11">
        <f>G77*G80</f>
        <v>79.415181898840018</v>
      </c>
      <c r="H81" s="11">
        <f>H77*H80</f>
        <v>91.175538079429401</v>
      </c>
      <c r="I81" s="11">
        <f>I77*I80</f>
        <v>95.472167678195703</v>
      </c>
      <c r="J81" s="11">
        <f>J77*J80</f>
        <v>102.54510074718789</v>
      </c>
    </row>
    <row r="82" spans="1:10" ht="15.75" thickBot="1" x14ac:dyDescent="0.3"/>
    <row r="83" spans="1:10" ht="21.95" customHeight="1" x14ac:dyDescent="0.25">
      <c r="A83" s="72" t="s">
        <v>65</v>
      </c>
      <c r="B83" s="73"/>
      <c r="C83" s="71"/>
      <c r="D83" s="71"/>
      <c r="E83" s="71"/>
      <c r="F83" s="71"/>
      <c r="G83" s="71"/>
      <c r="H83" s="71"/>
      <c r="I83" s="71"/>
      <c r="J83" s="71"/>
    </row>
    <row r="84" spans="1:10" x14ac:dyDescent="0.25">
      <c r="A84" s="23" t="s">
        <v>66</v>
      </c>
      <c r="B84" s="44">
        <f>J77*(1+G52)</f>
        <v>157.46426099712008</v>
      </c>
    </row>
    <row r="85" spans="1:10" x14ac:dyDescent="0.25">
      <c r="A85" s="40" t="s">
        <v>67</v>
      </c>
      <c r="B85" s="44">
        <f>B84/(H46-G46)</f>
        <v>2249.489442816001</v>
      </c>
    </row>
    <row r="86" spans="1:10" x14ac:dyDescent="0.25">
      <c r="A86" s="40" t="s">
        <v>68</v>
      </c>
      <c r="B86" s="44">
        <f>B85/(1+H46)^J79</f>
        <v>1464.9300106741127</v>
      </c>
    </row>
    <row r="87" spans="1:10" ht="15.75" thickBot="1" x14ac:dyDescent="0.3">
      <c r="A87" s="50" t="s">
        <v>69</v>
      </c>
      <c r="B87" s="51">
        <f>B86/(B86+SUM(F81:J81))</f>
        <v>0.77001805322493833</v>
      </c>
    </row>
    <row r="88" spans="1:10" ht="15.75" thickBot="1" x14ac:dyDescent="0.3"/>
    <row r="89" spans="1:10" ht="21.95" customHeight="1" x14ac:dyDescent="0.25">
      <c r="A89" s="72" t="s">
        <v>70</v>
      </c>
      <c r="B89" s="73"/>
      <c r="C89" s="71"/>
      <c r="D89" s="71"/>
      <c r="E89" s="71"/>
      <c r="F89" s="71"/>
      <c r="G89" s="71"/>
      <c r="H89" s="71"/>
      <c r="I89" s="71"/>
      <c r="J89" s="71"/>
    </row>
    <row r="90" spans="1:10" x14ac:dyDescent="0.25">
      <c r="A90" s="23" t="s">
        <v>71</v>
      </c>
      <c r="B90" s="44">
        <f>SUM(F81:J81)</f>
        <v>437.53189205503838</v>
      </c>
    </row>
    <row r="91" spans="1:10" x14ac:dyDescent="0.25">
      <c r="A91" s="23" t="s">
        <v>72</v>
      </c>
      <c r="B91" s="44">
        <f>B86</f>
        <v>1464.9300106741127</v>
      </c>
    </row>
    <row r="92" spans="1:10" ht="15.75" thickBot="1" x14ac:dyDescent="0.3">
      <c r="A92" s="41" t="s">
        <v>73</v>
      </c>
      <c r="B92" s="56">
        <f>B90+B91</f>
        <v>1902.461902729151</v>
      </c>
    </row>
    <row r="93" spans="1:10" x14ac:dyDescent="0.25">
      <c r="A93" s="23" t="s">
        <v>74</v>
      </c>
      <c r="B93" s="44">
        <f>-B12</f>
        <v>-150</v>
      </c>
    </row>
    <row r="94" spans="1:10" x14ac:dyDescent="0.25">
      <c r="A94" s="23"/>
      <c r="B94" s="45"/>
    </row>
    <row r="95" spans="1:10" ht="15.75" thickBot="1" x14ac:dyDescent="0.3">
      <c r="A95" s="41" t="s">
        <v>75</v>
      </c>
      <c r="B95" s="56">
        <f>B92+B93</f>
        <v>1752.461902729151</v>
      </c>
    </row>
    <row r="96" spans="1:10" x14ac:dyDescent="0.25">
      <c r="A96" s="23" t="s">
        <v>76</v>
      </c>
      <c r="B96" s="54">
        <f>B10</f>
        <v>50</v>
      </c>
    </row>
    <row r="97" spans="1:10" ht="16.5" thickBot="1" x14ac:dyDescent="0.3">
      <c r="A97" s="41" t="s">
        <v>77</v>
      </c>
      <c r="B97" s="55">
        <f>B95/B96</f>
        <v>35.049238054583022</v>
      </c>
    </row>
    <row r="98" spans="1:10" x14ac:dyDescent="0.25">
      <c r="A98" s="68" t="s">
        <v>108</v>
      </c>
      <c r="B98" s="69">
        <f>WACC!B32</f>
        <v>0.11658078629794018</v>
      </c>
    </row>
    <row r="99" spans="1:10" ht="21.95" customHeight="1" x14ac:dyDescent="0.25">
      <c r="A99" s="71" t="s">
        <v>101</v>
      </c>
      <c r="B99" s="71"/>
      <c r="C99" s="71"/>
      <c r="D99" s="71"/>
      <c r="E99" s="71"/>
      <c r="F99" s="71"/>
      <c r="G99" s="71"/>
      <c r="H99" s="71"/>
      <c r="I99" s="71"/>
      <c r="J99" s="71"/>
    </row>
    <row r="100" spans="1:10" ht="15.75" thickBot="1" x14ac:dyDescent="0.3"/>
    <row r="101" spans="1:10" x14ac:dyDescent="0.25">
      <c r="A101" s="76" t="s">
        <v>102</v>
      </c>
      <c r="B101" s="77"/>
      <c r="C101" s="77"/>
      <c r="D101" s="77"/>
      <c r="E101" s="77"/>
      <c r="F101" s="78"/>
      <c r="G101" s="79"/>
    </row>
    <row r="102" spans="1:10" x14ac:dyDescent="0.25">
      <c r="A102" s="22" t="s">
        <v>103</v>
      </c>
      <c r="B102" s="57">
        <v>1.4999999999999999E-2</v>
      </c>
      <c r="C102" s="57">
        <v>2.2499999999999999E-2</v>
      </c>
      <c r="D102" s="57">
        <v>0.03</v>
      </c>
      <c r="E102" s="57">
        <v>3.7499999999999999E-2</v>
      </c>
      <c r="F102" s="63">
        <v>4.4999999999999998E-2</v>
      </c>
    </row>
    <row r="103" spans="1:10" x14ac:dyDescent="0.25">
      <c r="A103" s="61">
        <v>0.08</v>
      </c>
      <c r="B103" s="58">
        <f>(F77/(1+$A103)^0.5+G77/(1+$A103)^1.5+H77/(1+$A103)^2.5+I77/(1+$A103)^3.5+J77/(1+$A103)^4.5+J77*(1+B$102)/($A103-B$102)/(1+$A103)^4.5-B12)/B10</f>
        <v>40.978707676912734</v>
      </c>
      <c r="C103" s="58">
        <f>(F77/(1+$A103)^0.5+G77/(1+$A103)^1.5+H77/(1+$A103)^2.5+I77/(1+$A103)^3.5+J77/(1+$A103)^4.5+J77*(1+C$102)/($A103-C$102)/(1+$A103)^4.5-B12)/B10</f>
        <v>45.806059066124078</v>
      </c>
      <c r="D103" s="58">
        <f>(F77/(1+$A103)^0.5+G77/(1+$A103)^1.5+H77/(1+$A103)^2.5+I77/(1+$A103)^3.5+J77/(1+$A103)^4.5+J77*(1+D$102)/($A103-D$102)/(1+$A103)^4.5-B12)/B10</f>
        <v>52.08161587209883</v>
      </c>
      <c r="E103" s="58">
        <f>(F77/(1+$A103)^0.5+G77/(1+$A103)^1.5+H77/(1+$A103)^2.5+I77/(1+$A103)^3.5+J77/(1+$A103)^4.5+J77*(1+E$102)/($A103-E$102)/(1+$A103)^4.5-B12)/B10</f>
        <v>60.572075080182323</v>
      </c>
      <c r="F103" s="64">
        <f>(F77/(1+$A103)^0.5+G77/(1+$A103)^1.5+H77/(1+$A103)^2.5+I77/(1+$A103)^3.5+J77/(1+$A103)^4.5+J77*(1+F$102)/($A103-F$102)/(1+$A103)^4.5-B12)/B10</f>
        <v>72.701302520301581</v>
      </c>
    </row>
    <row r="104" spans="1:10" x14ac:dyDescent="0.25">
      <c r="A104" s="61">
        <v>0.09</v>
      </c>
      <c r="B104" s="58">
        <f>(F77/(1+$A104)^0.5+G77/(1+$A104)^1.5+H77/(1+$A104)^2.5+I77/(1+$A104)^3.5+J77/(1+$A104)^4.5+J77*(1+B$102)/($A104-B$102)/(1+$A104)^4.5-B12)/B10</f>
        <v>34.88897452495997</v>
      </c>
      <c r="C104" s="58">
        <f>(F77/(1+$A104)^0.5+G77/(1+$A104)^1.5+H77/(1+$A104)^2.5+I77/(1+$A104)^3.5+J77/(1+$A104)^4.5+J77*(1+C$102)/($A104-C$102)/(1+$A104)^4.5-B12)/B10</f>
        <v>38.339740278804875</v>
      </c>
      <c r="D104" s="58">
        <f>(F77/(1+$A104)^0.5+G77/(1+$A104)^1.5+H77/(1+$A104)^2.5+I77/(1+$A104)^3.5+J77/(1+$A104)^4.5+J77*(1+D$102)/($A104-D$102)/(1+$A104)^4.5-B12)/B10</f>
        <v>42.653197471111007</v>
      </c>
      <c r="E104" s="58">
        <f>(F77/(1+$A104)^0.5+G77/(1+$A104)^1.5+H77/(1+$A104)^2.5+I77/(1+$A104)^3.5+J77/(1+$A104)^4.5+J77*(1+E$102)/($A104-E$102)/(1+$A104)^4.5-B12)/B10</f>
        <v>48.199071004076032</v>
      </c>
      <c r="F104" s="64">
        <f>(F77/(1+$A104)^0.5+G77/(1+$A104)^1.5+H77/(1+$A104)^2.5+I77/(1+$A104)^3.5+J77/(1+$A104)^4.5+J77*(1+F$102)/($A104-F$102)/(1+$A104)^4.5-B12)/B10</f>
        <v>55.593569048029387</v>
      </c>
    </row>
    <row r="105" spans="1:10" x14ac:dyDescent="0.25">
      <c r="A105" s="61">
        <v>0.1</v>
      </c>
      <c r="B105" s="58">
        <f>(F77/(1+$A105)^0.5+G77/(1+$A105)^1.5+H77/(1+$A105)^2.5+I77/(1+$A105)^3.5+J77/(1+$A105)^4.5+J77*(1+B$102)/($A105-B$102)/(1+$A105)^4.5-B12)/B10</f>
        <v>30.240820725429167</v>
      </c>
      <c r="C105" s="58">
        <f>(F77/(1+$A105)^0.5+G77/(1+$A105)^1.5+H77/(1+$A105)^2.5+I77/(1+$A105)^3.5+J77/(1+$A105)^4.5+J77*(1+C$102)/($A105-C$102)/(1+$A105)^4.5-B12)/B10</f>
        <v>32.809312812455502</v>
      </c>
      <c r="D105" s="59">
        <f>(F77/(1+$A105)^0.5+G77/(1+$A105)^1.5+H77/(1+$A105)^2.5+I77/(1+$A105)^3.5+J77/(1+$A105)^4.5+J77*(1+D$102)/($A105-D$102)/(1+$A105)^4.5-B12)/B10</f>
        <v>35.928196060987482</v>
      </c>
      <c r="E105" s="58">
        <f>(F77/(1+$A105)^0.5+G77/(1+$A105)^1.5+H77/(1+$A105)^2.5+I77/(1+$A105)^3.5+J77/(1+$A105)^4.5+J77*(1+E$102)/($A105-E$102)/(1+$A105)^4.5-B12)/B10</f>
        <v>39.795611289167155</v>
      </c>
      <c r="F105" s="64">
        <f>(F77/(1+$A105)^0.5+G77/(1+$A105)^1.5+H77/(1+$A105)^2.5+I77/(1+$A105)^3.5+J77/(1+$A105)^4.5+J77*(1+F$102)/($A105-F$102)/(1+$A105)^4.5-B12)/B10</f>
        <v>44.717776125032159</v>
      </c>
    </row>
    <row r="106" spans="1:10" x14ac:dyDescent="0.25">
      <c r="A106" s="61">
        <v>0.11</v>
      </c>
      <c r="B106" s="58">
        <f>(F77/(1+$A106)^0.5+G77/(1+$A106)^1.5+H77/(1+$A106)^2.5+I77/(1+$A106)^3.5+J77/(1+$A106)^4.5+J77*(1+B$102)/($A106-B$102)/(1+$A106)^4.5-B12)/B10</f>
        <v>26.578664116424498</v>
      </c>
      <c r="C106" s="58">
        <f>(F77/(1+$A106)^0.5+G77/(1+$A106)^1.5+H77/(1+$A106)^2.5+I77/(1+$A106)^3.5+J77/(1+$A106)^4.5+J77*(1+C$102)/($A106-C$102)/(1+$A106)^4.5-B12)/B10</f>
        <v>28.550683476687894</v>
      </c>
      <c r="D106" s="58">
        <f>(F77/(1+$A106)^0.5+G77/(1+$A106)^1.5+H77/(1+$A106)^2.5+I77/(1+$A106)^3.5+J77/(1+$A106)^4.5+J77*(1+D$102)/($A106-D$102)/(1+$A106)^4.5-B12)/B10</f>
        <v>30.892456467000674</v>
      </c>
      <c r="E106" s="58">
        <f>(F77/(1+$A106)^0.5+G77/(1+$A106)^1.5+H77/(1+$A106)^2.5+I77/(1+$A106)^3.5+J77/(1+$A106)^4.5+J77*(1+E$102)/($A106-E$102)/(1+$A106)^4.5-B12)/B10</f>
        <v>33.718734213929899</v>
      </c>
      <c r="F106" s="64">
        <f>(F77/(1+$A106)^0.5+G77/(1+$A106)^1.5+H77/(1+$A106)^2.5+I77/(1+$A106)^3.5+J77/(1+$A106)^4.5+J77*(1+F$102)/($A106-F$102)/(1+$A106)^4.5-B12)/B10</f>
        <v>37.197229902458162</v>
      </c>
    </row>
    <row r="107" spans="1:10" ht="15.75" thickBot="1" x14ac:dyDescent="0.3">
      <c r="A107" s="62">
        <v>0.12</v>
      </c>
      <c r="B107" s="60">
        <f>(F77/(1+$A107)^0.5+G77/(1+$A107)^1.5+H77/(1+$A107)^2.5+I77/(1+$A107)^3.5+J77/(1+$A107)^4.5+J77*(1+B$102)/($A107-B$102)/(1+$A107)^4.5-B12)/B10</f>
        <v>23.620494386438466</v>
      </c>
      <c r="C107" s="60">
        <f>(F77/(1+$A107)^0.5+G77/(1+$A107)^1.5+H77/(1+$A107)^2.5+I77/(1+$A107)^3.5+J77/(1+$A107)^4.5+J77*(1+C$102)/($A107-C$102)/(1+$A107)^4.5-B12)/B10</f>
        <v>25.172224771296527</v>
      </c>
      <c r="D107" s="60">
        <f>(F77/(1+$A107)^0.5+G77/(1+$A107)^1.5+H77/(1+$A107)^2.5+I77/(1+$A107)^3.5+J77/(1+$A107)^4.5+J77*(1+D$102)/($A107-D$102)/(1+$A107)^4.5-B12)/B10</f>
        <v>26.982576886964274</v>
      </c>
      <c r="E107" s="60">
        <f>(F77/(1+$A107)^0.5+G77/(1+$A107)^1.5+H77/(1+$A107)^2.5+I77/(1+$A107)^3.5+J77/(1+$A107)^4.5+J77*(1+E$102)/($A107-E$102)/(1+$A107)^4.5-B12)/B10</f>
        <v>29.122083932753426</v>
      </c>
      <c r="F107" s="65">
        <f>(F77/(1+$A107)^0.5+G77/(1+$A107)^1.5+H77/(1+$A107)^2.5+I77/(1+$A107)^3.5+J77/(1+$A107)^4.5+J77*(1+F$102)/($A107-F$102)/(1+$A107)^4.5-B12)/B10</f>
        <v>31.689492387700398</v>
      </c>
    </row>
    <row r="108" spans="1:10" ht="15.75" thickBot="1" x14ac:dyDescent="0.3"/>
    <row r="109" spans="1:10" x14ac:dyDescent="0.25">
      <c r="A109" s="76" t="s">
        <v>104</v>
      </c>
      <c r="B109" s="77"/>
      <c r="C109" s="77"/>
      <c r="D109" s="77"/>
      <c r="E109" s="77"/>
      <c r="F109" s="78"/>
      <c r="G109" s="79"/>
    </row>
    <row r="110" spans="1:10" x14ac:dyDescent="0.25">
      <c r="A110" s="22" t="s">
        <v>105</v>
      </c>
      <c r="B110" s="57">
        <v>0.16</v>
      </c>
      <c r="C110" s="57">
        <v>0.19</v>
      </c>
      <c r="D110" s="57">
        <v>0.22</v>
      </c>
      <c r="E110" s="57">
        <v>0.25</v>
      </c>
      <c r="F110" s="63">
        <v>0.28000000000000003</v>
      </c>
    </row>
    <row r="111" spans="1:10" x14ac:dyDescent="0.25">
      <c r="A111" s="61">
        <v>0.06</v>
      </c>
      <c r="B111" s="58">
        <f>((E56*(1+$A111)^1*B$110*0.75+E56*(1+$A111)^1*0.03-E56*(1+$A111)^1*0.045-(E56*(1+$A111)^1-E56)*0.035)/(1+H46)^0.5+(E56*(1+$A111)^2*B$110*0.75+E56*(1+$A111)^2*0.03-E56*(1+$A111)^2*0.045-(E56*(1+$A111)^2-E56*(1+$A111)^1)*0.035)/(1+H46)^1.5+(E56*(1+$A111)^3*B$110*0.75+E56*(1+$A111)^3*0.03-E56*(1+$A111)^3*0.045-(E56*(1+$A111)^3-E56*(1+$A111)^2)*0.035)/(1+H46)^2.5+(E56*(1+$A111)^4*B$110*0.75+E56*(1+$A111)^4*0.03-E56*(1+$A111)^4*0.045-(E56*(1+$A111)^4-E56*(1+$A111)^3)*0.035)/(1+H46)^3.5+(E56*(1+$A111)^5*B$110*0.75+E56*(1+$A111)^5*0.03-E56*(1+$A111)^5*0.045-(E56*(1+$A111)^5-E56*(1+$A111)^4)*0.035)/(1+H46)^4.5+(E56*(1+$A111)^5*B$110*0.75+E56*(1+$A111)^5*0.03-E56*(1+$A111)^5*0.045-(E56*(1+$A111)^5-E56*(1+$A111)^4)*0.035)*(1+G46)/(H46-G46)/(1+H46)^4.5-B12)/B10</f>
        <v>14.329230257940951</v>
      </c>
      <c r="C111" s="58">
        <f>((E56*(1+$A111)^1*C$110*0.75+E56*(1+$A111)^1*0.03-E56*(1+$A111)^1*0.045-(E56*(1+$A111)^1-E56)*0.035)/(1+H46)^0.5+(E56*(1+$A111)^2*C$110*0.75+E56*(1+$A111)^2*0.03-E56*(1+$A111)^2*0.045-(E56*(1+$A111)^2-E56*(1+$A111)^1)*0.035)/(1+H46)^1.5+(E56*(1+$A111)^3*C$110*0.75+E56*(1+$A111)^3*0.03-E56*(1+$A111)^3*0.045-(E56*(1+$A111)^3-E56*(1+$A111)^2)*0.035)/(1+H46)^2.5+(E56*(1+$A111)^4*C$110*0.75+E56*(1+$A111)^4*0.03-E56*(1+$A111)^4*0.045-(E56*(1+$A111)^4-E56*(1+$A111)^3)*0.035)/(1+H46)^3.5+(E56*(1+$A111)^5*C$110*0.75+E56*(1+$A111)^5*0.03-E56*(1+$A111)^5*0.045-(E56*(1+$A111)^5-E56*(1+$A111)^4)*0.035)/(1+H46)^4.5+(E56*(1+$A111)^5*C$110*0.75+E56*(1+$A111)^5*0.03-E56*(1+$A111)^5*0.045-(E56*(1+$A111)^5-E56*(1+$A111)^4)*0.035)*(1+G46)/(H46-G46)/(1+H46)^4.5-B12)/B10</f>
        <v>18.114048404936295</v>
      </c>
      <c r="D111" s="58">
        <f>((E56*(1+$A111)^1*D$110*0.75+E56*(1+$A111)^1*0.03-E56*(1+$A111)^1*0.045-(E56*(1+$A111)^1-E56)*0.035)/(1+H46)^0.5+(E56*(1+$A111)^2*D$110*0.75+E56*(1+$A111)^2*0.03-E56*(1+$A111)^2*0.045-(E56*(1+$A111)^2-E56*(1+$A111)^1)*0.035)/(1+H46)^1.5+(E56*(1+$A111)^3*D$110*0.75+E56*(1+$A111)^3*0.03-E56*(1+$A111)^3*0.045-(E56*(1+$A111)^3-E56*(1+$A111)^2)*0.035)/(1+H46)^2.5+(E56*(1+$A111)^4*D$110*0.75+E56*(1+$A111)^4*0.03-E56*(1+$A111)^4*0.045-(E56*(1+$A111)^4-E56*(1+$A111)^3)*0.035)/(1+H46)^3.5+(E56*(1+$A111)^5*D$110*0.75+E56*(1+$A111)^5*0.03-E56*(1+$A111)^5*0.045-(E56*(1+$A111)^5-E56*(1+$A111)^4)*0.035)/(1+H46)^4.5+(E56*(1+$A111)^5*D$110*0.75+E56*(1+$A111)^5*0.03-E56*(1+$A111)^5*0.045-(E56*(1+$A111)^5-E56*(1+$A111)^4)*0.035)*(1+G46)/(H46-G46)/(1+H46)^4.5-B12)/B10</f>
        <v>21.898866551931643</v>
      </c>
      <c r="E111" s="58">
        <f>((E56*(1+$A111)^1*E$110*0.75+E56*(1+$A111)^1*0.03-E56*(1+$A111)^1*0.045-(E56*(1+$A111)^1-E56)*0.035)/(1+H46)^0.5+(E56*(1+$A111)^2*E$110*0.75+E56*(1+$A111)^2*0.03-E56*(1+$A111)^2*0.045-(E56*(1+$A111)^2-E56*(1+$A111)^1)*0.035)/(1+H46)^1.5+(E56*(1+$A111)^3*E$110*0.75+E56*(1+$A111)^3*0.03-E56*(1+$A111)^3*0.045-(E56*(1+$A111)^3-E56*(1+$A111)^2)*0.035)/(1+H46)^2.5+(E56*(1+$A111)^4*E$110*0.75+E56*(1+$A111)^4*0.03-E56*(1+$A111)^4*0.045-(E56*(1+$A111)^4-E56*(1+$A111)^3)*0.035)/(1+H46)^3.5+(E56*(1+$A111)^5*E$110*0.75+E56*(1+$A111)^5*0.03-E56*(1+$A111)^5*0.045-(E56*(1+$A111)^5-E56*(1+$A111)^4)*0.035)/(1+H46)^4.5+(E56*(1+$A111)^5*E$110*0.75+E56*(1+$A111)^5*0.03-E56*(1+$A111)^5*0.045-(E56*(1+$A111)^5-E56*(1+$A111)^4)*0.035)*(1+G46)/(H46-G46)/(1+H46)^4.5-B12)/B10</f>
        <v>25.683684698926992</v>
      </c>
      <c r="F111" s="64">
        <f>((E56*(1+$A111)^1*F$110*0.75+E56*(1+$A111)^1*0.03-E56*(1+$A111)^1*0.045-(E56*(1+$A111)^1-E56)*0.035)/(1+H46)^0.5+(E56*(1+$A111)^2*F$110*0.75+E56*(1+$A111)^2*0.03-E56*(1+$A111)^2*0.045-(E56*(1+$A111)^2-E56*(1+$A111)^1)*0.035)/(1+H46)^1.5+(E56*(1+$A111)^3*F$110*0.75+E56*(1+$A111)^3*0.03-E56*(1+$A111)^3*0.045-(E56*(1+$A111)^3-E56*(1+$A111)^2)*0.035)/(1+H46)^2.5+(E56*(1+$A111)^4*F$110*0.75+E56*(1+$A111)^4*0.03-E56*(1+$A111)^4*0.045-(E56*(1+$A111)^4-E56*(1+$A111)^3)*0.035)/(1+H46)^3.5+(E56*(1+$A111)^5*F$110*0.75+E56*(1+$A111)^5*0.03-E56*(1+$A111)^5*0.045-(E56*(1+$A111)^5-E56*(1+$A111)^4)*0.035)/(1+H46)^4.5+(E56*(1+$A111)^5*F$110*0.75+E56*(1+$A111)^5*0.03-E56*(1+$A111)^5*0.045-(E56*(1+$A111)^5-E56*(1+$A111)^4)*0.035)*(1+G46)/(H46-G46)/(1+H46)^4.5-B12)/B10</f>
        <v>29.468502845922334</v>
      </c>
    </row>
    <row r="112" spans="1:10" x14ac:dyDescent="0.25">
      <c r="A112" s="61">
        <v>0.08</v>
      </c>
      <c r="B112" s="58">
        <f>((E56*(1+$A112)^1*B$110*0.75+E56*(1+$A112)^1*0.03-E56*(1+$A112)^1*0.045-(E56*(1+$A112)^1-E56)*0.035)/(1+H46)^0.5+(E56*(1+$A112)^2*B$110*0.75+E56*(1+$A112)^2*0.03-E56*(1+$A112)^2*0.045-(E56*(1+$A112)^2-E56*(1+$A112)^1)*0.035)/(1+H46)^1.5+(E56*(1+$A112)^3*B$110*0.75+E56*(1+$A112)^3*0.03-E56*(1+$A112)^3*0.045-(E56*(1+$A112)^3-E56*(1+$A112)^2)*0.035)/(1+H46)^2.5+(E56*(1+$A112)^4*B$110*0.75+E56*(1+$A112)^4*0.03-E56*(1+$A112)^4*0.045-(E56*(1+$A112)^4-E56*(1+$A112)^3)*0.035)/(1+H46)^3.5+(E56*(1+$A112)^5*B$110*0.75+E56*(1+$A112)^5*0.03-E56*(1+$A112)^5*0.045-(E56*(1+$A112)^5-E56*(1+$A112)^4)*0.035)/(1+H46)^4.5+(E56*(1+$A112)^5*B$110*0.75+E56*(1+$A112)^5*0.03-E56*(1+$A112)^5*0.045-(E56*(1+$A112)^5-E56*(1+$A112)^4)*0.035)*(1+G46)/(H46-G46)/(1+H46)^4.5-B12)/B10</f>
        <v>15.722824252868795</v>
      </c>
      <c r="C112" s="58">
        <f>((E56*(1+$A112)^1*C$110*0.75+E56*(1+$A112)^1*0.03-E56*(1+$A112)^1*0.045-(E56*(1+$A112)^1-E56)*0.035)/(1+H46)^0.5+(E56*(1+$A112)^2*C$110*0.75+E56*(1+$A112)^2*0.03-E56*(1+$A112)^2*0.045-(E56*(1+$A112)^2-E56*(1+$A112)^1)*0.035)/(1+H46)^1.5+(E56*(1+$A112)^3*C$110*0.75+E56*(1+$A112)^3*0.03-E56*(1+$A112)^3*0.045-(E56*(1+$A112)^3-E56*(1+$A112)^2)*0.035)/(1+H46)^2.5+(E56*(1+$A112)^4*C$110*0.75+E56*(1+$A112)^4*0.03-E56*(1+$A112)^4*0.045-(E56*(1+$A112)^4-E56*(1+$A112)^3)*0.035)/(1+H46)^3.5+(E56*(1+$A112)^5*C$110*0.75+E56*(1+$A112)^5*0.03-E56*(1+$A112)^5*0.045-(E56*(1+$A112)^5-E56*(1+$A112)^4)*0.035)/(1+H46)^4.5+(E56*(1+$A112)^5*C$110*0.75+E56*(1+$A112)^5*0.03-E56*(1+$A112)^5*0.045-(E56*(1+$A112)^5-E56*(1+$A112)^4)*0.035)*(1+G46)/(H46-G46)/(1+H46)^4.5-B12)/B10</f>
        <v>19.836428496491866</v>
      </c>
      <c r="D112" s="58">
        <f>((E56*(1+$A112)^1*D$110*0.75+E56*(1+$A112)^1*0.03-E56*(1+$A112)^1*0.045-(E56*(1+$A112)^1-E56)*0.035)/(1+H46)^0.5+(E56*(1+$A112)^2*D$110*0.75+E56*(1+$A112)^2*0.03-E56*(1+$A112)^2*0.045-(E56*(1+$A112)^2-E56*(1+$A112)^1)*0.035)/(1+H46)^1.5+(E56*(1+$A112)^3*D$110*0.75+E56*(1+$A112)^3*0.03-E56*(1+$A112)^3*0.045-(E56*(1+$A112)^3-E56*(1+$A112)^2)*0.035)/(1+H46)^2.5+(E56*(1+$A112)^4*D$110*0.75+E56*(1+$A112)^4*0.03-E56*(1+$A112)^4*0.045-(E56*(1+$A112)^4-E56*(1+$A112)^3)*0.035)/(1+H46)^3.5+(E56*(1+$A112)^5*D$110*0.75+E56*(1+$A112)^5*0.03-E56*(1+$A112)^5*0.045-(E56*(1+$A112)^5-E56*(1+$A112)^4)*0.035)/(1+H46)^4.5+(E56*(1+$A112)^5*D$110*0.75+E56*(1+$A112)^5*0.03-E56*(1+$A112)^5*0.045-(E56*(1+$A112)^5-E56*(1+$A112)^4)*0.035)*(1+G46)/(H46-G46)/(1+H46)^4.5-B12)/B10</f>
        <v>23.950032740114949</v>
      </c>
      <c r="E112" s="58">
        <f>((E56*(1+$A112)^1*E$110*0.75+E56*(1+$A112)^1*0.03-E56*(1+$A112)^1*0.045-(E56*(1+$A112)^1-E56)*0.035)/(1+H46)^0.5+(E56*(1+$A112)^2*E$110*0.75+E56*(1+$A112)^2*0.03-E56*(1+$A112)^2*0.045-(E56*(1+$A112)^2-E56*(1+$A112)^1)*0.035)/(1+H46)^1.5+(E56*(1+$A112)^3*E$110*0.75+E56*(1+$A112)^3*0.03-E56*(1+$A112)^3*0.045-(E56*(1+$A112)^3-E56*(1+$A112)^2)*0.035)/(1+H46)^2.5+(E56*(1+$A112)^4*E$110*0.75+E56*(1+$A112)^4*0.03-E56*(1+$A112)^4*0.045-(E56*(1+$A112)^4-E56*(1+$A112)^3)*0.035)/(1+H46)^3.5+(E56*(1+$A112)^5*E$110*0.75+E56*(1+$A112)^5*0.03-E56*(1+$A112)^5*0.045-(E56*(1+$A112)^5-E56*(1+$A112)^4)*0.035)/(1+H46)^4.5+(E56*(1+$A112)^5*E$110*0.75+E56*(1+$A112)^5*0.03-E56*(1+$A112)^5*0.045-(E56*(1+$A112)^5-E56*(1+$A112)^4)*0.035)*(1+G46)/(H46-G46)/(1+H46)^4.5-B12)/B10</f>
        <v>28.063636983738014</v>
      </c>
      <c r="F112" s="64">
        <f>((E56*(1+$A112)^1*F$110*0.75+E56*(1+$A112)^1*0.03-E56*(1+$A112)^1*0.045-(E56*(1+$A112)^1-E56)*0.035)/(1+H46)^0.5+(E56*(1+$A112)^2*F$110*0.75+E56*(1+$A112)^2*0.03-E56*(1+$A112)^2*0.045-(E56*(1+$A112)^2-E56*(1+$A112)^1)*0.035)/(1+H46)^1.5+(E56*(1+$A112)^3*F$110*0.75+E56*(1+$A112)^3*0.03-E56*(1+$A112)^3*0.045-(E56*(1+$A112)^3-E56*(1+$A112)^2)*0.035)/(1+H46)^2.5+(E56*(1+$A112)^4*F$110*0.75+E56*(1+$A112)^4*0.03-E56*(1+$A112)^4*0.045-(E56*(1+$A112)^4-E56*(1+$A112)^3)*0.035)/(1+H46)^3.5+(E56*(1+$A112)^5*F$110*0.75+E56*(1+$A112)^5*0.03-E56*(1+$A112)^5*0.045-(E56*(1+$A112)^5-E56*(1+$A112)^4)*0.035)/(1+H46)^4.5+(E56*(1+$A112)^5*F$110*0.75+E56*(1+$A112)^5*0.03-E56*(1+$A112)^5*0.045-(E56*(1+$A112)^5-E56*(1+$A112)^4)*0.035)*(1+G46)/(H46-G46)/(1+H46)^4.5-B12)/B10</f>
        <v>32.17724122736108</v>
      </c>
    </row>
    <row r="113" spans="1:7" x14ac:dyDescent="0.25">
      <c r="A113" s="61">
        <v>0.1</v>
      </c>
      <c r="B113" s="58">
        <f>((E56*(1+$A113)^1*B$110*0.75+E56*(1+$A113)^1*0.03-E56*(1+$A113)^1*0.045-(E56*(1+$A113)^1-E56)*0.035)/(1+H46)^0.5+(E56*(1+$A113)^2*B$110*0.75+E56*(1+$A113)^2*0.03-E56*(1+$A113)^2*0.045-(E56*(1+$A113)^2-E56*(1+$A113)^1)*0.035)/(1+H46)^1.5+(E56*(1+$A113)^3*B$110*0.75+E56*(1+$A113)^3*0.03-E56*(1+$A113)^3*0.045-(E56*(1+$A113)^3-E56*(1+$A113)^2)*0.035)/(1+H46)^2.5+(E56*(1+$A113)^4*B$110*0.75+E56*(1+$A113)^4*0.03-E56*(1+$A113)^4*0.045-(E56*(1+$A113)^4-E56*(1+$A113)^3)*0.035)/(1+H46)^3.5+(E56*(1+$A113)^5*B$110*0.75+E56*(1+$A113)^5*0.03-E56*(1+$A113)^5*0.045-(E56*(1+$A113)^5-E56*(1+$A113)^4)*0.035)/(1+H46)^4.5+(E56*(1+$A113)^5*B$110*0.75+E56*(1+$A113)^5*0.03-E56*(1+$A113)^5*0.045-(E56*(1+$A113)^5-E56*(1+$A113)^4)*0.035)*(1+G46)/(H46-G46)/(1+H46)^4.5-B12)/B10</f>
        <v>17.210355811720973</v>
      </c>
      <c r="C113" s="58">
        <f>((E56*(1+$A113)^1*C$110*0.75+E56*(1+$A113)^1*0.03-E56*(1+$A113)^1*0.045-(E56*(1+$A113)^1-E56)*0.035)/(1+H46)^0.5+(E56*(1+$A113)^2*C$110*0.75+E56*(1+$A113)^2*0.03-E56*(1+$A113)^2*0.045-(E56*(1+$A113)^2-E56*(1+$A113)^1)*0.035)/(1+H46)^1.5+(E56*(1+$A113)^3*C$110*0.75+E56*(1+$A113)^3*0.03-E56*(1+$A113)^3*0.045-(E56*(1+$A113)^3-E56*(1+$A113)^2)*0.035)/(1+H46)^2.5+(E56*(1+$A113)^4*C$110*0.75+E56*(1+$A113)^4*0.03-E56*(1+$A113)^4*0.045-(E56*(1+$A113)^4-E56*(1+$A113)^3)*0.035)/(1+H46)^3.5+(E56*(1+$A113)^5*C$110*0.75+E56*(1+$A113)^5*0.03-E56*(1+$A113)^5*0.045-(E56*(1+$A113)^5-E56*(1+$A113)^4)*0.035)/(1+H46)^4.5+(E56*(1+$A113)^5*C$110*0.75+E56*(1+$A113)^5*0.03-E56*(1+$A113)^5*0.045-(E56*(1+$A113)^5-E56*(1+$A113)^4)*0.035)*(1+G46)/(H46-G46)/(1+H46)^4.5-B12)/B10</f>
        <v>21.676483546900382</v>
      </c>
      <c r="D113" s="59">
        <f>((E56*(1+$A113)^1*D$110*0.75+E56*(1+$A113)^1*0.03-E56*(1+$A113)^1*0.045-(E56*(1+$A113)^1-E56)*0.035)/(1+H46)^0.5+(E56*(1+$A113)^2*D$110*0.75+E56*(1+$A113)^2*0.03-E56*(1+$A113)^2*0.045-(E56*(1+$A113)^2-E56*(1+$A113)^1)*0.035)/(1+H46)^1.5+(E56*(1+$A113)^3*D$110*0.75+E56*(1+$A113)^3*0.03-E56*(1+$A113)^3*0.045-(E56*(1+$A113)^3-E56*(1+$A113)^2)*0.035)/(1+H46)^2.5+(E56*(1+$A113)^4*D$110*0.75+E56*(1+$A113)^4*0.03-E56*(1+$A113)^4*0.045-(E56*(1+$A113)^4-E56*(1+$A113)^3)*0.035)/(1+H46)^3.5+(E56*(1+$A113)^5*D$110*0.75+E56*(1+$A113)^5*0.03-E56*(1+$A113)^5*0.045-(E56*(1+$A113)^5-E56*(1+$A113)^4)*0.035)/(1+H46)^4.5+(E56*(1+$A113)^5*D$110*0.75+E56*(1+$A113)^5*0.03-E56*(1+$A113)^5*0.045-(E56*(1+$A113)^5-E56*(1+$A113)^4)*0.035)*(1+G46)/(H46-G46)/(1+H46)^4.5-B12)/B10</f>
        <v>26.142611282079798</v>
      </c>
      <c r="E113" s="58">
        <f>((E56*(1+$A113)^1*E$110*0.75+E56*(1+$A113)^1*0.03-E56*(1+$A113)^1*0.045-(E56*(1+$A113)^1-E56)*0.035)/(1+H46)^0.5+(E56*(1+$A113)^2*E$110*0.75+E56*(1+$A113)^2*0.03-E56*(1+$A113)^2*0.045-(E56*(1+$A113)^2-E56*(1+$A113)^1)*0.035)/(1+H46)^1.5+(E56*(1+$A113)^3*E$110*0.75+E56*(1+$A113)^3*0.03-E56*(1+$A113)^3*0.045-(E56*(1+$A113)^3-E56*(1+$A113)^2)*0.035)/(1+H46)^2.5+(E56*(1+$A113)^4*E$110*0.75+E56*(1+$A113)^4*0.03-E56*(1+$A113)^4*0.045-(E56*(1+$A113)^4-E56*(1+$A113)^3)*0.035)/(1+H46)^3.5+(E56*(1+$A113)^5*E$110*0.75+E56*(1+$A113)^5*0.03-E56*(1+$A113)^5*0.045-(E56*(1+$A113)^5-E56*(1+$A113)^4)*0.035)/(1+H46)^4.5+(E56*(1+$A113)^5*E$110*0.75+E56*(1+$A113)^5*0.03-E56*(1+$A113)^5*0.045-(E56*(1+$A113)^5-E56*(1+$A113)^4)*0.035)*(1+G46)/(H46-G46)/(1+H46)^4.5-B12)/B10</f>
        <v>30.608739017259214</v>
      </c>
      <c r="F113" s="64">
        <f>((E56*(1+$A113)^1*F$110*0.75+E56*(1+$A113)^1*0.03-E56*(1+$A113)^1*0.045-(E56*(1+$A113)^1-E56)*0.035)/(1+H46)^0.5+(E56*(1+$A113)^2*F$110*0.75+E56*(1+$A113)^2*0.03-E56*(1+$A113)^2*0.045-(E56*(1+$A113)^2-E56*(1+$A113)^1)*0.035)/(1+H46)^1.5+(E56*(1+$A113)^3*F$110*0.75+E56*(1+$A113)^3*0.03-E56*(1+$A113)^3*0.045-(E56*(1+$A113)^3-E56*(1+$A113)^2)*0.035)/(1+H46)^2.5+(E56*(1+$A113)^4*F$110*0.75+E56*(1+$A113)^4*0.03-E56*(1+$A113)^4*0.045-(E56*(1+$A113)^4-E56*(1+$A113)^3)*0.035)/(1+H46)^3.5+(E56*(1+$A113)^5*F$110*0.75+E56*(1+$A113)^5*0.03-E56*(1+$A113)^5*0.045-(E56*(1+$A113)^5-E56*(1+$A113)^4)*0.035)/(1+H46)^4.5+(E56*(1+$A113)^5*F$110*0.75+E56*(1+$A113)^5*0.03-E56*(1+$A113)^5*0.045-(E56*(1+$A113)^5-E56*(1+$A113)^4)*0.035)*(1+G46)/(H46-G46)/(1+H46)^4.5-B12)/B10</f>
        <v>35.074866752438624</v>
      </c>
    </row>
    <row r="114" spans="1:7" x14ac:dyDescent="0.25">
      <c r="A114" s="61">
        <v>0.12</v>
      </c>
      <c r="B114" s="58">
        <f>((E56*(1+$A114)^1*B$110*0.75+E56*(1+$A114)^1*0.03-E56*(1+$A114)^1*0.045-(E56*(1+$A114)^1-E56)*0.035)/(1+H46)^0.5+(E56*(1+$A114)^2*B$110*0.75+E56*(1+$A114)^2*0.03-E56*(1+$A114)^2*0.045-(E56*(1+$A114)^2-E56*(1+$A114)^1)*0.035)/(1+H46)^1.5+(E56*(1+$A114)^3*B$110*0.75+E56*(1+$A114)^3*0.03-E56*(1+$A114)^3*0.045-(E56*(1+$A114)^3-E56*(1+$A114)^2)*0.035)/(1+H46)^2.5+(E56*(1+$A114)^4*B$110*0.75+E56*(1+$A114)^4*0.03-E56*(1+$A114)^4*0.045-(E56*(1+$A114)^4-E56*(1+$A114)^3)*0.035)/(1+H46)^3.5+(E56*(1+$A114)^5*B$110*0.75+E56*(1+$A114)^5*0.03-E56*(1+$A114)^5*0.045-(E56*(1+$A114)^5-E56*(1+$A114)^4)*0.035)/(1+H46)^4.5+(E56*(1+$A114)^5*B$110*0.75+E56*(1+$A114)^5*0.03-E56*(1+$A114)^5*0.045-(E56*(1+$A114)^5-E56*(1+$A114)^4)*0.035)*(1+G46)/(H46-G46)/(1+H46)^4.5-B12)/B10</f>
        <v>18.796604436406287</v>
      </c>
      <c r="C114" s="58">
        <f>((E56*(1+$A114)^1*C$110*0.75+E56*(1+$A114)^1*0.03-E56*(1+$A114)^1*0.045-(E56*(1+$A114)^1-E56)*0.035)/(1+H46)^0.5+(E56*(1+$A114)^2*C$110*0.75+E56*(1+$A114)^2*0.03-E56*(1+$A114)^2*0.045-(E56*(1+$A114)^2-E56*(1+$A114)^1)*0.035)/(1+H46)^1.5+(E56*(1+$A114)^3*C$110*0.75+E56*(1+$A114)^3*0.03-E56*(1+$A114)^3*0.045-(E56*(1+$A114)^3-E56*(1+$A114)^2)*0.035)/(1+H46)^2.5+(E56*(1+$A114)^4*C$110*0.75+E56*(1+$A114)^4*0.03-E56*(1+$A114)^4*0.045-(E56*(1+$A114)^4-E56*(1+$A114)^3)*0.035)/(1+H46)^3.5+(E56*(1+$A114)^5*C$110*0.75+E56*(1+$A114)^5*0.03-E56*(1+$A114)^5*0.045-(E56*(1+$A114)^5-E56*(1+$A114)^4)*0.035)/(1+H46)^4.5+(E56*(1+$A114)^5*C$110*0.75+E56*(1+$A114)^5*0.03-E56*(1+$A114)^5*0.045-(E56*(1+$A114)^5-E56*(1+$A114)^4)*0.035)*(1+G46)/(H46-G46)/(1+H46)^4.5-B12)/B10</f>
        <v>23.640294311163238</v>
      </c>
      <c r="D114" s="58">
        <f>((E56*(1+$A114)^1*D$110*0.75+E56*(1+$A114)^1*0.03-E56*(1+$A114)^1*0.045-(E56*(1+$A114)^1-E56)*0.035)/(1+H46)^0.5+(E56*(1+$A114)^2*D$110*0.75+E56*(1+$A114)^2*0.03-E56*(1+$A114)^2*0.045-(E56*(1+$A114)^2-E56*(1+$A114)^1)*0.035)/(1+H46)^1.5+(E56*(1+$A114)^3*D$110*0.75+E56*(1+$A114)^3*0.03-E56*(1+$A114)^3*0.045-(E56*(1+$A114)^3-E56*(1+$A114)^2)*0.035)/(1+H46)^2.5+(E56*(1+$A114)^4*D$110*0.75+E56*(1+$A114)^4*0.03-E56*(1+$A114)^4*0.045-(E56*(1+$A114)^4-E56*(1+$A114)^3)*0.035)/(1+H46)^3.5+(E56*(1+$A114)^5*D$110*0.75+E56*(1+$A114)^5*0.03-E56*(1+$A114)^5*0.045-(E56*(1+$A114)^5-E56*(1+$A114)^4)*0.035)/(1+H46)^4.5+(E56*(1+$A114)^5*D$110*0.75+E56*(1+$A114)^5*0.03-E56*(1+$A114)^5*0.045-(E56*(1+$A114)^5-E56*(1+$A114)^4)*0.035)*(1+G46)/(H46-G46)/(1+H46)^4.5-B12)/B10</f>
        <v>28.483984185920189</v>
      </c>
      <c r="E114" s="58">
        <f>((E56*(1+$A114)^1*E$110*0.75+E56*(1+$A114)^1*0.03-E56*(1+$A114)^1*0.045-(E56*(1+$A114)^1-E56)*0.035)/(1+H46)^0.5+(E56*(1+$A114)^2*E$110*0.75+E56*(1+$A114)^2*0.03-E56*(1+$A114)^2*0.045-(E56*(1+$A114)^2-E56*(1+$A114)^1)*0.035)/(1+H46)^1.5+(E56*(1+$A114)^3*E$110*0.75+E56*(1+$A114)^3*0.03-E56*(1+$A114)^3*0.045-(E56*(1+$A114)^3-E56*(1+$A114)^2)*0.035)/(1+H46)^2.5+(E56*(1+$A114)^4*E$110*0.75+E56*(1+$A114)^4*0.03-E56*(1+$A114)^4*0.045-(E56*(1+$A114)^4-E56*(1+$A114)^3)*0.035)/(1+H46)^3.5+(E56*(1+$A114)^5*E$110*0.75+E56*(1+$A114)^5*0.03-E56*(1+$A114)^5*0.045-(E56*(1+$A114)^5-E56*(1+$A114)^4)*0.035)/(1+H46)^4.5+(E56*(1+$A114)^5*E$110*0.75+E56*(1+$A114)^5*0.03-E56*(1+$A114)^5*0.045-(E56*(1+$A114)^5-E56*(1+$A114)^4)*0.035)*(1+G46)/(H46-G46)/(1+H46)^4.5-B12)/B10</f>
        <v>33.327674060677147</v>
      </c>
      <c r="F114" s="64">
        <f>((E56*(1+$A114)^1*F$110*0.75+E56*(1+$A114)^1*0.03-E56*(1+$A114)^1*0.045-(E56*(1+$A114)^1-E56)*0.035)/(1+H46)^0.5+(E56*(1+$A114)^2*F$110*0.75+E56*(1+$A114)^2*0.03-E56*(1+$A114)^2*0.045-(E56*(1+$A114)^2-E56*(1+$A114)^1)*0.035)/(1+H46)^1.5+(E56*(1+$A114)^3*F$110*0.75+E56*(1+$A114)^3*0.03-E56*(1+$A114)^3*0.045-(E56*(1+$A114)^3-E56*(1+$A114)^2)*0.035)/(1+H46)^2.5+(E56*(1+$A114)^4*F$110*0.75+E56*(1+$A114)^4*0.03-E56*(1+$A114)^4*0.045-(E56*(1+$A114)^4-E56*(1+$A114)^3)*0.035)/(1+H46)^3.5+(E56*(1+$A114)^5*F$110*0.75+E56*(1+$A114)^5*0.03-E56*(1+$A114)^5*0.045-(E56*(1+$A114)^5-E56*(1+$A114)^4)*0.035)/(1+H46)^4.5+(E56*(1+$A114)^5*F$110*0.75+E56*(1+$A114)^5*0.03-E56*(1+$A114)^5*0.045-(E56*(1+$A114)^5-E56*(1+$A114)^4)*0.035)*(1+G46)/(H46-G46)/(1+H46)^4.5-B12)/B10</f>
        <v>38.171363935434101</v>
      </c>
    </row>
    <row r="115" spans="1:7" ht="15.75" thickBot="1" x14ac:dyDescent="0.3">
      <c r="A115" s="62">
        <v>0.14000000000000001</v>
      </c>
      <c r="B115" s="60">
        <f>((E56*(1+$A115)^1*B$110*0.75+E56*(1+$A115)^1*0.03-E56*(1+$A115)^1*0.045-(E56*(1+$A115)^1-E56)*0.035)/(1+H46)^0.5+(E56*(1+$A115)^2*B$110*0.75+E56*(1+$A115)^2*0.03-E56*(1+$A115)^2*0.045-(E56*(1+$A115)^2-E56*(1+$A115)^1)*0.035)/(1+H46)^1.5+(E56*(1+$A115)^3*B$110*0.75+E56*(1+$A115)^3*0.03-E56*(1+$A115)^3*0.045-(E56*(1+$A115)^3-E56*(1+$A115)^2)*0.035)/(1+H46)^2.5+(E56*(1+$A115)^4*B$110*0.75+E56*(1+$A115)^4*0.03-E56*(1+$A115)^4*0.045-(E56*(1+$A115)^4-E56*(1+$A115)^3)*0.035)/(1+H46)^3.5+(E56*(1+$A115)^5*B$110*0.75+E56*(1+$A115)^5*0.03-E56*(1+$A115)^5*0.045-(E56*(1+$A115)^5-E56*(1+$A115)^4)*0.035)/(1+H46)^4.5+(E56*(1+$A115)^5*B$110*0.75+E56*(1+$A115)^5*0.03-E56*(1+$A115)^5*0.045-(E56*(1+$A115)^5-E56*(1+$A115)^4)*0.035)*(1+G46)/(H46-G46)/(1+H46)^4.5-B12)/B10</f>
        <v>20.486509922643091</v>
      </c>
      <c r="C115" s="60">
        <f>((E56*(1+$A115)^1*C$110*0.75+E56*(1+$A115)^1*0.03-E56*(1+$A115)^1*0.045-(E56*(1+$A115)^1-E56)*0.035)/(1+H46)^0.5+(E56*(1+$A115)^2*C$110*0.75+E56*(1+$A115)^2*0.03-E56*(1+$A115)^2*0.045-(E56*(1+$A115)^2-E56*(1+$A115)^1)*0.035)/(1+H46)^1.5+(E56*(1+$A115)^3*C$110*0.75+E56*(1+$A115)^3*0.03-E56*(1+$A115)^3*0.045-(E56*(1+$A115)^3-E56*(1+$A115)^2)*0.035)/(1+H46)^2.5+(E56*(1+$A115)^4*C$110*0.75+E56*(1+$A115)^4*0.03-E56*(1+$A115)^4*0.045-(E56*(1+$A115)^4-E56*(1+$A115)^3)*0.035)/(1+H46)^3.5+(E56*(1+$A115)^5*C$110*0.75+E56*(1+$A115)^5*0.03-E56*(1+$A115)^5*0.045-(E56*(1+$A115)^5-E56*(1+$A115)^4)*0.035)/(1+H46)^4.5+(E56*(1+$A115)^5*C$110*0.75+E56*(1+$A115)^5*0.03-E56*(1+$A115)^5*0.045-(E56*(1+$A115)^5-E56*(1+$A115)^4)*0.035)*(1+G46)/(H46-G46)/(1+H46)^4.5-B12)/B10</f>
        <v>25.734149117031549</v>
      </c>
      <c r="D115" s="60">
        <f>((E56*(1+$A115)^1*D$110*0.75+E56*(1+$A115)^1*0.03-E56*(1+$A115)^1*0.045-(E56*(1+$A115)^1-E56)*0.035)/(1+H46)^0.5+(E56*(1+$A115)^2*D$110*0.75+E56*(1+$A115)^2*0.03-E56*(1+$A115)^2*0.045-(E56*(1+$A115)^2-E56*(1+$A115)^1)*0.035)/(1+H46)^1.5+(E56*(1+$A115)^3*D$110*0.75+E56*(1+$A115)^3*0.03-E56*(1+$A115)^3*0.045-(E56*(1+$A115)^3-E56*(1+$A115)^2)*0.035)/(1+H46)^2.5+(E56*(1+$A115)^4*D$110*0.75+E56*(1+$A115)^4*0.03-E56*(1+$A115)^4*0.045-(E56*(1+$A115)^4-E56*(1+$A115)^3)*0.035)/(1+H46)^3.5+(E56*(1+$A115)^5*D$110*0.75+E56*(1+$A115)^5*0.03-E56*(1+$A115)^5*0.045-(E56*(1+$A115)^5-E56*(1+$A115)^4)*0.035)/(1+H46)^4.5+(E56*(1+$A115)^5*D$110*0.75+E56*(1+$A115)^5*0.03-E56*(1+$A115)^5*0.045-(E56*(1+$A115)^5-E56*(1+$A115)^4)*0.035)*(1+G46)/(H46-G46)/(1+H46)^4.5-B12)/B10</f>
        <v>30.981788311420015</v>
      </c>
      <c r="E115" s="60">
        <f>((E56*(1+$A115)^1*E$110*0.75+E56*(1+$A115)^1*0.03-E56*(1+$A115)^1*0.045-(E56*(1+$A115)^1-E56)*0.035)/(1+H46)^0.5+(E56*(1+$A115)^2*E$110*0.75+E56*(1+$A115)^2*0.03-E56*(1+$A115)^2*0.045-(E56*(1+$A115)^2-E56*(1+$A115)^1)*0.035)/(1+H46)^1.5+(E56*(1+$A115)^3*E$110*0.75+E56*(1+$A115)^3*0.03-E56*(1+$A115)^3*0.045-(E56*(1+$A115)^3-E56*(1+$A115)^2)*0.035)/(1+H46)^2.5+(E56*(1+$A115)^4*E$110*0.75+E56*(1+$A115)^4*0.03-E56*(1+$A115)^4*0.045-(E56*(1+$A115)^4-E56*(1+$A115)^3)*0.035)/(1+H46)^3.5+(E56*(1+$A115)^5*E$110*0.75+E56*(1+$A115)^5*0.03-E56*(1+$A115)^5*0.045-(E56*(1+$A115)^5-E56*(1+$A115)^4)*0.035)/(1+H46)^4.5+(E56*(1+$A115)^5*E$110*0.75+E56*(1+$A115)^5*0.03-E56*(1+$A115)^5*0.045-(E56*(1+$A115)^5-E56*(1+$A115)^4)*0.035)*(1+G46)/(H46-G46)/(1+H46)^4.5-B12)/B10</f>
        <v>36.229427505808459</v>
      </c>
      <c r="F115" s="65">
        <f>((E56*(1+$A115)^1*F$110*0.75+E56*(1+$A115)^1*0.03-E56*(1+$A115)^1*0.045-(E56*(1+$A115)^1-E56)*0.035)/(1+H46)^0.5+(E56*(1+$A115)^2*F$110*0.75+E56*(1+$A115)^2*0.03-E56*(1+$A115)^2*0.045-(E56*(1+$A115)^2-E56*(1+$A115)^1)*0.035)/(1+H46)^1.5+(E56*(1+$A115)^3*F$110*0.75+E56*(1+$A115)^3*0.03-E56*(1+$A115)^3*0.045-(E56*(1+$A115)^3-E56*(1+$A115)^2)*0.035)/(1+H46)^2.5+(E56*(1+$A115)^4*F$110*0.75+E56*(1+$A115)^4*0.03-E56*(1+$A115)^4*0.045-(E56*(1+$A115)^4-E56*(1+$A115)^3)*0.035)/(1+H46)^3.5+(E56*(1+$A115)^5*F$110*0.75+E56*(1+$A115)^5*0.03-E56*(1+$A115)^5*0.045-(E56*(1+$A115)^5-E56*(1+$A115)^4)*0.035)/(1+H46)^4.5+(E56*(1+$A115)^5*F$110*0.75+E56*(1+$A115)^5*0.03-E56*(1+$A115)^5*0.045-(E56*(1+$A115)^5-E56*(1+$A115)^4)*0.035)*(1+G46)/(H46-G46)/(1+H46)^4.5-B12)/B10</f>
        <v>41.477066700196936</v>
      </c>
    </row>
    <row r="117" spans="1:7" ht="15.75" thickBot="1" x14ac:dyDescent="0.3"/>
    <row r="118" spans="1:7" x14ac:dyDescent="0.25">
      <c r="A118" s="76" t="s">
        <v>106</v>
      </c>
      <c r="B118" s="77"/>
      <c r="C118" s="77"/>
      <c r="D118" s="77"/>
      <c r="E118" s="77"/>
      <c r="F118" s="78"/>
      <c r="G118" s="79"/>
    </row>
    <row r="119" spans="1:7" x14ac:dyDescent="0.25">
      <c r="A119" s="22" t="s">
        <v>107</v>
      </c>
      <c r="B119" s="57">
        <v>3.3000000000000002E-2</v>
      </c>
      <c r="C119" s="57">
        <v>3.7999999999999999E-2</v>
      </c>
      <c r="D119" s="57">
        <v>4.2999999999999997E-2</v>
      </c>
      <c r="E119" s="57">
        <v>4.8000000000000001E-2</v>
      </c>
      <c r="F119" s="63">
        <v>5.2999999999999999E-2</v>
      </c>
    </row>
    <row r="120" spans="1:7" x14ac:dyDescent="0.25">
      <c r="A120" s="66">
        <v>0.8</v>
      </c>
      <c r="B120" s="58">
        <f>(F77/(1+((B$119+$A120*WACC!B7+WACC!B8)*WACC!B20+WACC!B26*WACC!B21))^0.5+G77/(1+((B$119+$A120*WACC!B7+WACC!B8)*WACC!B20+WACC!B26*WACC!B21))^1.5+H77/(1+((B$119+$A120*WACC!B7+WACC!B8)*WACC!B20+WACC!B26*WACC!B21))^2.5+I77/(1+((B$119+$A120*WACC!B7+WACC!B8)*WACC!B20+WACC!B26*WACC!B21))^3.5+J77/(1+((B$119+$A120*WACC!B7+WACC!B8)*WACC!B20+WACC!B26*WACC!B21))^4.5+J77*(1+G46)/(((B$119+$A120*WACC!B7+WACC!B8)*WACC!B20+WACC!B26*WACC!B21)-G46)/(1+((B$119+$A120*WACC!B7+WACC!B8)*WACC!B20+WACC!B26*WACC!B21))^4.5-B12)/B10</f>
        <v>40.481695893437482</v>
      </c>
      <c r="C120" s="58">
        <f>(F77/(1+((C$119+$A120*WACC!B7+WACC!B8)*WACC!B20+WACC!B26*WACC!B21))^0.5+G77/(1+((C$119+$A120*WACC!B7+WACC!B8)*WACC!B20+WACC!B26*WACC!B21))^1.5+H77/(1+((C$119+$A120*WACC!B7+WACC!B8)*WACC!B20+WACC!B26*WACC!B21))^2.5+I77/(1+((C$119+$A120*WACC!B7+WACC!B8)*WACC!B20+WACC!B26*WACC!B21))^3.5+J77/(1+((C$119+$A120*WACC!B7+WACC!B8)*WACC!B20+WACC!B26*WACC!B21))^4.5+J77*(1+G46)/(((C$119+$A120*WACC!B7+WACC!B8)*WACC!B20+WACC!B26*WACC!B21)-G46)/(1+((C$119+$A120*WACC!B7+WACC!B8)*WACC!B20+WACC!B26*WACC!B21))^4.5-B12)/B10</f>
        <v>37.418125621068654</v>
      </c>
      <c r="D120" s="58">
        <f>(F77/(1+((D$119+$A120*WACC!B7+WACC!B8)*WACC!B20+WACC!B26*WACC!B21))^0.5+G77/(1+((D$119+$A120*WACC!B7+WACC!B8)*WACC!B20+WACC!B26*WACC!B21))^1.5+H77/(1+((D$119+$A120*WACC!B7+WACC!B8)*WACC!B20+WACC!B26*WACC!B21))^2.5+I77/(1+((D$119+$A120*WACC!B7+WACC!B8)*WACC!B20+WACC!B26*WACC!B21))^3.5+J77/(1+((D$119+$A120*WACC!B7+WACC!B8)*WACC!B20+WACC!B26*WACC!B21))^4.5+J77*(1+G46)/(((D$119+$A120*WACC!B7+WACC!B8)*WACC!B20+WACC!B26*WACC!B21)-G46)/(1+((D$119+$A120*WACC!B7+WACC!B8)*WACC!B20+WACC!B26*WACC!B21))^4.5-B12)/B10</f>
        <v>34.747802916698312</v>
      </c>
      <c r="E120" s="58">
        <f>(F77/(1+((E$119+$A120*WACC!B7+WACC!B8)*WACC!B20+WACC!B26*WACC!B21))^0.5+G77/(1+((E$119+$A120*WACC!B7+WACC!B8)*WACC!B20+WACC!B26*WACC!B21))^1.5+H77/(1+((E$119+$A120*WACC!B7+WACC!B8)*WACC!B20+WACC!B26*WACC!B21))^2.5+I77/(1+((E$119+$A120*WACC!B7+WACC!B8)*WACC!B20+WACC!B26*WACC!B21))^3.5+J77/(1+((E$119+$A120*WACC!B7+WACC!B8)*WACC!B20+WACC!B26*WACC!B21))^4.5+J77*(1+G46)/(((E$119+$A120*WACC!B7+WACC!B8)*WACC!B20+WACC!B26*WACC!B21)-G46)/(1+((E$119+$A120*WACC!B7+WACC!B8)*WACC!B20+WACC!B26*WACC!B21))^4.5-B12)/B10</f>
        <v>32.399864133317671</v>
      </c>
      <c r="F120" s="64">
        <f>(F77/(1+((F$119+$A120*WACC!B7+WACC!B8)*WACC!B20+WACC!B26*WACC!B21))^0.5+G77/(1+((F$119+$A120*WACC!B7+WACC!B8)*WACC!B20+WACC!B26*WACC!B21))^1.5+H77/(1+((F$119+$A120*WACC!B7+WACC!B8)*WACC!B20+WACC!B26*WACC!B21))^2.5+I77/(1+((F$119+$A120*WACC!B7+WACC!B8)*WACC!B20+WACC!B26*WACC!B21))^3.5+J77/(1+((F$119+$A120*WACC!B7+WACC!B8)*WACC!B20+WACC!B26*WACC!B21))^4.5+J77*(1+G46)/(((F$119+$A120*WACC!B7+WACC!B8)*WACC!B20+WACC!B26*WACC!B21)-G46)/(1+((F$119+$A120*WACC!B7+WACC!B8)*WACC!B20+WACC!B26*WACC!B21))^4.5-B12)/B10</f>
        <v>30.319500076655544</v>
      </c>
    </row>
    <row r="121" spans="1:7" x14ac:dyDescent="0.25">
      <c r="A121" s="66">
        <v>1</v>
      </c>
      <c r="B121" s="58">
        <f>(F77/(1+((B$119+$A121*WACC!B7+WACC!B8)*WACC!B20+WACC!B26*WACC!B21))^0.5+G77/(1+((B$119+$A121*WACC!B7+WACC!B8)*WACC!B20+WACC!B26*WACC!B21))^1.5+H77/(1+((B$119+$A121*WACC!B7+WACC!B8)*WACC!B20+WACC!B26*WACC!B21))^2.5+I77/(1+((B$119+$A121*WACC!B7+WACC!B8)*WACC!B20+WACC!B26*WACC!B21))^3.5+J77/(1+((B$119+$A121*WACC!B7+WACC!B8)*WACC!B20+WACC!B26*WACC!B21))^4.5+J77*(1+G46)/(((B$119+$A121*WACC!B7+WACC!B8)*WACC!B20+WACC!B26*WACC!B21)-G46)/(1+((B$119+$A121*WACC!B7+WACC!B8)*WACC!B20+WACC!B26*WACC!B21))^4.5-B12)/B10</f>
        <v>34.254377449573091</v>
      </c>
      <c r="C121" s="58">
        <f>(F77/(1+((C$119+$A121*WACC!B7+WACC!B8)*WACC!B20+WACC!B26*WACC!B21))^0.5+G77/(1+((C$119+$A121*WACC!B7+WACC!B8)*WACC!B20+WACC!B26*WACC!B21))^1.5+H77/(1+((C$119+$A121*WACC!B7+WACC!B8)*WACC!B20+WACC!B26*WACC!B21))^2.5+I77/(1+((C$119+$A121*WACC!B7+WACC!B8)*WACC!B20+WACC!B26*WACC!B21))^3.5+J77/(1+((C$119+$A121*WACC!B7+WACC!B8)*WACC!B20+WACC!B26*WACC!B21))^4.5+J77*(1+G46)/(((C$119+$A121*WACC!B7+WACC!B8)*WACC!B20+WACC!B26*WACC!B21)-G46)/(1+((C$119+$A121*WACC!B7+WACC!B8)*WACC!B20+WACC!B26*WACC!B21))^4.5-B12)/B10</f>
        <v>31.963910319347356</v>
      </c>
      <c r="D121" s="58">
        <f>(F77/(1+((D$119+$A121*WACC!B7+WACC!B8)*WACC!B20+WACC!B26*WACC!B21))^0.5+G77/(1+((D$119+$A121*WACC!B7+WACC!B8)*WACC!B20+WACC!B26*WACC!B21))^1.5+H77/(1+((D$119+$A121*WACC!B7+WACC!B8)*WACC!B20+WACC!B26*WACC!B21))^2.5+I77/(1+((D$119+$A121*WACC!B7+WACC!B8)*WACC!B20+WACC!B26*WACC!B21))^3.5+J77/(1+((D$119+$A121*WACC!B7+WACC!B8)*WACC!B20+WACC!B26*WACC!B21))^4.5+J77*(1+G46)/(((D$119+$A121*WACC!B7+WACC!B8)*WACC!B20+WACC!B26*WACC!B21)-G46)/(1+((D$119+$A121*WACC!B7+WACC!B8)*WACC!B20+WACC!B26*WACC!B21))^4.5-B12)/B10</f>
        <v>29.931577419122732</v>
      </c>
      <c r="E121" s="58">
        <f>(F77/(1+((E$119+$A121*WACC!B7+WACC!B8)*WACC!B20+WACC!B26*WACC!B21))^0.5+G77/(1+((E$119+$A121*WACC!B7+WACC!B8)*WACC!B20+WACC!B26*WACC!B21))^1.5+H77/(1+((E$119+$A121*WACC!B7+WACC!B8)*WACC!B20+WACC!B26*WACC!B21))^2.5+I77/(1+((E$119+$A121*WACC!B7+WACC!B8)*WACC!B20+WACC!B26*WACC!B21))^3.5+J77/(1+((E$119+$A121*WACC!B7+WACC!B8)*WACC!B20+WACC!B26*WACC!B21))^4.5+J77*(1+G46)/(((E$119+$A121*WACC!B7+WACC!B8)*WACC!B20+WACC!B26*WACC!B21)-G46)/(1+((E$119+$A121*WACC!B7+WACC!B8)*WACC!B20+WACC!B26*WACC!B21))^4.5-B12)/B10</f>
        <v>28.116280164092974</v>
      </c>
      <c r="F121" s="64">
        <f>(F77/(1+((F$119+$A121*WACC!B7+WACC!B8)*WACC!B20+WACC!B26*WACC!B21))^0.5+G77/(1+((F$119+$A121*WACC!B7+WACC!B8)*WACC!B20+WACC!B26*WACC!B21))^1.5+H77/(1+((F$119+$A121*WACC!B7+WACC!B8)*WACC!B20+WACC!B26*WACC!B21))^2.5+I77/(1+((F$119+$A121*WACC!B7+WACC!B8)*WACC!B20+WACC!B26*WACC!B21))^3.5+J77/(1+((F$119+$A121*WACC!B7+WACC!B8)*WACC!B20+WACC!B26*WACC!B21))^4.5+J77*(1+G46)/(((F$119+$A121*WACC!B7+WACC!B8)*WACC!B20+WACC!B26*WACC!B21)-G46)/(1+((F$119+$A121*WACC!B7+WACC!B8)*WACC!B20+WACC!B26*WACC!B21))^4.5-B12)/B10</f>
        <v>26.485199697389959</v>
      </c>
    </row>
    <row r="122" spans="1:7" x14ac:dyDescent="0.25">
      <c r="A122" s="66">
        <v>1.1499999999999999</v>
      </c>
      <c r="B122" s="58">
        <f>(F77/(1+((B$119+$A122*WACC!B7+WACC!B8)*WACC!B20+WACC!B26*WACC!B21))^0.5+G77/(1+((B$119+$A122*WACC!B7+WACC!B8)*WACC!B20+WACC!B26*WACC!B21))^1.5+H77/(1+((B$119+$A122*WACC!B7+WACC!B8)*WACC!B20+WACC!B26*WACC!B21))^2.5+I77/(1+((B$119+$A122*WACC!B7+WACC!B8)*WACC!B20+WACC!B26*WACC!B21))^3.5+J77/(1+((B$119+$A122*WACC!B7+WACC!B8)*WACC!B20+WACC!B26*WACC!B21))^4.5+J77*(1+G46)/(((B$119+$A122*WACC!B7+WACC!B8)*WACC!B20+WACC!B26*WACC!B21)-G46)/(1+((B$119+$A122*WACC!B7+WACC!B8)*WACC!B20+WACC!B26*WACC!B21))^4.5-B12)/B10</f>
        <v>30.616300688580569</v>
      </c>
      <c r="C122" s="58">
        <f>(F77/(1+((C$119+$A122*WACC!B7+WACC!B8)*WACC!B20+WACC!B26*WACC!B21))^0.5+G77/(1+((C$119+$A122*WACC!B7+WACC!B8)*WACC!B20+WACC!B26*WACC!B21))^1.5+H77/(1+((C$119+$A122*WACC!B7+WACC!B8)*WACC!B20+WACC!B26*WACC!B21))^2.5+I77/(1+((C$119+$A122*WACC!B7+WACC!B8)*WACC!B20+WACC!B26*WACC!B21))^3.5+J77/(1+((C$119+$A122*WACC!B7+WACC!B8)*WACC!B20+WACC!B26*WACC!B21))^4.5+J77*(1+G46)/(((C$119+$A122*WACC!B7+WACC!B8)*WACC!B20+WACC!B26*WACC!B21)-G46)/(1+((C$119+$A122*WACC!B7+WACC!B8)*WACC!B20+WACC!B26*WACC!B21))^4.5-B12)/B10</f>
        <v>28.72914942000515</v>
      </c>
      <c r="D122" s="59">
        <f>(F77/(1+((D$119+$A122*WACC!B7+WACC!B8)*WACC!B20+WACC!B26*WACC!B21))^0.5+G77/(1+((D$119+$A122*WACC!B7+WACC!B8)*WACC!B20+WACC!B26*WACC!B21))^1.5+H77/(1+((D$119+$A122*WACC!B7+WACC!B8)*WACC!B20+WACC!B26*WACC!B21))^2.5+I77/(1+((D$119+$A122*WACC!B7+WACC!B8)*WACC!B20+WACC!B26*WACC!B21))^3.5+J77/(1+((D$119+$A122*WACC!B7+WACC!B8)*WACC!B20+WACC!B26*WACC!B21))^4.5+J77*(1+G46)/(((D$119+$A122*WACC!B7+WACC!B8)*WACC!B20+WACC!B26*WACC!B21)-G46)/(1+((D$119+$A122*WACC!B7+WACC!B8)*WACC!B20+WACC!B26*WACC!B21))^4.5-B12)/B10</f>
        <v>27.036897469178466</v>
      </c>
      <c r="E122" s="58">
        <f>(F77/(1+((E$119+$A122*WACC!B7+WACC!B8)*WACC!B20+WACC!B26*WACC!B21))^0.5+G77/(1+((E$119+$A122*WACC!B7+WACC!B8)*WACC!B20+WACC!B26*WACC!B21))^1.5+H77/(1+((E$119+$A122*WACC!B7+WACC!B8)*WACC!B20+WACC!B26*WACC!B21))^2.5+I77/(1+((E$119+$A122*WACC!B7+WACC!B8)*WACC!B20+WACC!B26*WACC!B21))^3.5+J77/(1+((E$119+$A122*WACC!B7+WACC!B8)*WACC!B20+WACC!B26*WACC!B21))^4.5+J77*(1+G46)/(((E$119+$A122*WACC!B7+WACC!B8)*WACC!B20+WACC!B26*WACC!B21)-G46)/(1+((E$119+$A122*WACC!B7+WACC!B8)*WACC!B20+WACC!B26*WACC!B21))^4.5-B12)/B10</f>
        <v>25.511005070089471</v>
      </c>
      <c r="F122" s="64">
        <f>(F77/(1+((F$119+$A122*WACC!B7+WACC!B8)*WACC!B20+WACC!B26*WACC!B21))^0.5+G77/(1+((F$119+$A122*WACC!B7+WACC!B8)*WACC!B20+WACC!B26*WACC!B21))^1.5+H77/(1+((F$119+$A122*WACC!B7+WACC!B8)*WACC!B20+WACC!B26*WACC!B21))^2.5+I77/(1+((F$119+$A122*WACC!B7+WACC!B8)*WACC!B20+WACC!B26*WACC!B21))^3.5+J77/(1+((F$119+$A122*WACC!B7+WACC!B8)*WACC!B20+WACC!B26*WACC!B21))^4.5+J77*(1+G46)/(((F$119+$A122*WACC!B7+WACC!B8)*WACC!B20+WACC!B26*WACC!B21)-G46)/(1+((F$119+$A122*WACC!B7+WACC!B8)*WACC!B20+WACC!B26*WACC!B21))^4.5-B12)/B10</f>
        <v>24.128241144769348</v>
      </c>
    </row>
    <row r="123" spans="1:7" x14ac:dyDescent="0.25">
      <c r="A123" s="66">
        <v>1.3</v>
      </c>
      <c r="B123" s="58">
        <f>(F77/(1+((B$119+$A123*WACC!B7+WACC!B8)*WACC!B20+WACC!B26*WACC!B21))^0.5+G77/(1+((B$119+$A123*WACC!B7+WACC!B8)*WACC!B20+WACC!B26*WACC!B21))^1.5+H77/(1+((B$119+$A123*WACC!B7+WACC!B8)*WACC!B20+WACC!B26*WACC!B21))^2.5+I77/(1+((B$119+$A123*WACC!B7+WACC!B8)*WACC!B20+WACC!B26*WACC!B21))^3.5+J77/(1+((B$119+$A123*WACC!B7+WACC!B8)*WACC!B20+WACC!B26*WACC!B21))^4.5+J77*(1+G46)/(((B$119+$A123*WACC!B7+WACC!B8)*WACC!B20+WACC!B26*WACC!B21)-G46)/(1+((B$119+$A123*WACC!B7+WACC!B8)*WACC!B20+WACC!B26*WACC!B21))^4.5-B12)/B10</f>
        <v>27.608927216571683</v>
      </c>
      <c r="C123" s="58">
        <f>(F77/(1+((C$119+$A123*WACC!B7+WACC!B8)*WACC!B20+WACC!B26*WACC!B21))^0.5+G77/(1+((C$119+$A123*WACC!B7+WACC!B8)*WACC!B20+WACC!B26*WACC!B21))^1.5+H77/(1+((C$119+$A123*WACC!B7+WACC!B8)*WACC!B20+WACC!B26*WACC!B21))^2.5+I77/(1+((C$119+$A123*WACC!B7+WACC!B8)*WACC!B20+WACC!B26*WACC!B21))^3.5+J77/(1+((C$119+$A123*WACC!B7+WACC!B8)*WACC!B20+WACC!B26*WACC!B21))^4.5+J77*(1+G46)/(((C$119+$A123*WACC!B7+WACC!B8)*WACC!B20+WACC!B26*WACC!B21)-G46)/(1+((C$119+$A123*WACC!B7+WACC!B8)*WACC!B20+WACC!B26*WACC!B21))^4.5-B12)/B10</f>
        <v>26.027694760289091</v>
      </c>
      <c r="D123" s="58">
        <f>(F77/(1+((D$119+$A123*WACC!B7+WACC!B8)*WACC!B20+WACC!B26*WACC!B21))^0.5+G77/(1+((D$119+$A123*WACC!B7+WACC!B8)*WACC!B20+WACC!B26*WACC!B21))^1.5+H77/(1+((D$119+$A123*WACC!B7+WACC!B8)*WACC!B20+WACC!B26*WACC!B21))^2.5+I77/(1+((D$119+$A123*WACC!B7+WACC!B8)*WACC!B20+WACC!B26*WACC!B21))^3.5+J77/(1+((D$119+$A123*WACC!B7+WACC!B8)*WACC!B20+WACC!B26*WACC!B21))^4.5+J77*(1+G46)/(((D$119+$A123*WACC!B7+WACC!B8)*WACC!B20+WACC!B26*WACC!B21)-G46)/(1+((D$119+$A123*WACC!B7+WACC!B8)*WACC!B20+WACC!B26*WACC!B21))^4.5-B12)/B10</f>
        <v>24.597198977316989</v>
      </c>
      <c r="E123" s="58">
        <f>(F77/(1+((E$119+$A123*WACC!B7+WACC!B8)*WACC!B20+WACC!B26*WACC!B21))^0.5+G77/(1+((E$119+$A123*WACC!B7+WACC!B8)*WACC!B20+WACC!B26*WACC!B21))^1.5+H77/(1+((E$119+$A123*WACC!B7+WACC!B8)*WACC!B20+WACC!B26*WACC!B21))^2.5+I77/(1+((E$119+$A123*WACC!B7+WACC!B8)*WACC!B20+WACC!B26*WACC!B21))^3.5+J77/(1+((E$119+$A123*WACC!B7+WACC!B8)*WACC!B20+WACC!B26*WACC!B21))^4.5+J77*(1+G46)/(((E$119+$A123*WACC!B7+WACC!B8)*WACC!B20+WACC!B26*WACC!B21)-G46)/(1+((E$119+$A123*WACC!B7+WACC!B8)*WACC!B20+WACC!B26*WACC!B21))^4.5-B12)/B10</f>
        <v>23.297006016720438</v>
      </c>
      <c r="F123" s="64">
        <f>(F77/(1+((F$119+$A123*WACC!B7+WACC!B8)*WACC!B20+WACC!B26*WACC!B21))^0.5+G77/(1+((F$119+$A123*WACC!B7+WACC!B8)*WACC!B20+WACC!B26*WACC!B21))^1.5+H77/(1+((F$119+$A123*WACC!B7+WACC!B8)*WACC!B20+WACC!B26*WACC!B21))^2.5+I77/(1+((F$119+$A123*WACC!B7+WACC!B8)*WACC!B20+WACC!B26*WACC!B21))^3.5+J77/(1+((F$119+$A123*WACC!B7+WACC!B8)*WACC!B20+WACC!B26*WACC!B21))^4.5+J77*(1+G46)/(((F$119+$A123*WACC!B7+WACC!B8)*WACC!B20+WACC!B26*WACC!B21)-G46)/(1+((F$119+$A123*WACC!B7+WACC!B8)*WACC!B20+WACC!B26*WACC!B21))^4.5-B12)/B10</f>
        <v>22.110212245714703</v>
      </c>
    </row>
    <row r="124" spans="1:7" ht="15.75" thickBot="1" x14ac:dyDescent="0.3">
      <c r="A124" s="67">
        <v>1.5</v>
      </c>
      <c r="B124" s="60">
        <f>(F77/(1+((B$119+$A124*WACC!B7+WACC!B8)*WACC!B20+WACC!B26*WACC!B21))^0.5+G77/(1+((B$119+$A124*WACC!B7+WACC!B8)*WACC!B20+WACC!B26*WACC!B21))^1.5+H77/(1+((B$119+$A124*WACC!B7+WACC!B8)*WACC!B20+WACC!B26*WACC!B21))^2.5+I77/(1+((B$119+$A124*WACC!B7+WACC!B8)*WACC!B20+WACC!B26*WACC!B21))^3.5+J77/(1+((B$119+$A124*WACC!B7+WACC!B8)*WACC!B20+WACC!B26*WACC!B21))^4.5+J77*(1+G46)/(((B$119+$A124*WACC!B7+WACC!B8)*WACC!B20+WACC!B26*WACC!B21)-G46)/(1+((B$119+$A124*WACC!B7+WACC!B8)*WACC!B20+WACC!B26*WACC!B21))^4.5-B12)/B10</f>
        <v>24.327322674067545</v>
      </c>
      <c r="C124" s="60">
        <f>(F77/(1+((C$119+$A124*WACC!B7+WACC!B8)*WACC!B20+WACC!B26*WACC!B21))^0.5+G77/(1+((C$119+$A124*WACC!B7+WACC!B8)*WACC!B20+WACC!B26*WACC!B21))^1.5+H77/(1+((C$119+$A124*WACC!B7+WACC!B8)*WACC!B20+WACC!B26*WACC!B21))^2.5+I77/(1+((C$119+$A124*WACC!B7+WACC!B8)*WACC!B20+WACC!B26*WACC!B21))^3.5+J77/(1+((C$119+$A124*WACC!B7+WACC!B8)*WACC!B20+WACC!B26*WACC!B21))^4.5+J77*(1+G46)/(((C$119+$A124*WACC!B7+WACC!B8)*WACC!B20+WACC!B26*WACC!B21)-G46)/(1+((C$119+$A124*WACC!B7+WACC!B8)*WACC!B20+WACC!B26*WACC!B21))^4.5-B12)/B10</f>
        <v>23.051063005086906</v>
      </c>
      <c r="D124" s="60">
        <f>(F77/(1+((D$119+$A124*WACC!B7+WACC!B8)*WACC!B20+WACC!B26*WACC!B21))^0.5+G77/(1+((D$119+$A124*WACC!B7+WACC!B8)*WACC!B20+WACC!B26*WACC!B21))^1.5+H77/(1+((D$119+$A124*WACC!B7+WACC!B8)*WACC!B20+WACC!B26*WACC!B21))^2.5+I77/(1+((D$119+$A124*WACC!B7+WACC!B8)*WACC!B20+WACC!B26*WACC!B21))^3.5+J77/(1+((D$119+$A124*WACC!B7+WACC!B8)*WACC!B20+WACC!B26*WACC!B21))^4.5+J77*(1+G46)/(((D$119+$A124*WACC!B7+WACC!B8)*WACC!B20+WACC!B26*WACC!B21)-G46)/(1+((D$119+$A124*WACC!B7+WACC!B8)*WACC!B20+WACC!B26*WACC!B21))^4.5-B12)/B10</f>
        <v>21.885177710974386</v>
      </c>
      <c r="E124" s="60">
        <f>(F77/(1+((E$119+$A124*WACC!B7+WACC!B8)*WACC!B20+WACC!B26*WACC!B21))^0.5+G77/(1+((E$119+$A124*WACC!B7+WACC!B8)*WACC!B20+WACC!B26*WACC!B21))^1.5+H77/(1+((E$119+$A124*WACC!B7+WACC!B8)*WACC!B20+WACC!B26*WACC!B21))^2.5+I77/(1+((E$119+$A124*WACC!B7+WACC!B8)*WACC!B20+WACC!B26*WACC!B21))^3.5+J77/(1+((E$119+$A124*WACC!B7+WACC!B8)*WACC!B20+WACC!B26*WACC!B21))^4.5+J77*(1+G46)/(((E$119+$A124*WACC!B7+WACC!B8)*WACC!B20+WACC!B26*WACC!B21)-G46)/(1+((E$119+$A124*WACC!B7+WACC!B8)*WACC!B20+WACC!B26*WACC!B21))^4.5-B12)/B10</f>
        <v>20.816051151433193</v>
      </c>
      <c r="F124" s="65">
        <f>(F77/(1+((F$119+$A124*WACC!B7+WACC!B8)*WACC!B20+WACC!B26*WACC!B21))^0.5+G77/(1+((F$119+$A124*WACC!B7+WACC!B8)*WACC!B20+WACC!B26*WACC!B21))^1.5+H77/(1+((F$119+$A124*WACC!B7+WACC!B8)*WACC!B20+WACC!B26*WACC!B21))^2.5+I77/(1+((F$119+$A124*WACC!B7+WACC!B8)*WACC!B20+WACC!B26*WACC!B21))^3.5+J77/(1+((F$119+$A124*WACC!B7+WACC!B8)*WACC!B20+WACC!B26*WACC!B21))^4.5+J77*(1+G46)/(((F$119+$A124*WACC!B7+WACC!B8)*WACC!B20+WACC!B26*WACC!B21)-G46)/(1+((F$119+$A124*WACC!B7+WACC!B8)*WACC!B20+WACC!B26*WACC!B21))^4.5-B12)/B10</f>
        <v>19.832216020462912</v>
      </c>
    </row>
  </sheetData>
  <mergeCells count="15">
    <mergeCell ref="A34:H34"/>
    <mergeCell ref="A1:I1"/>
    <mergeCell ref="A2:I2"/>
    <mergeCell ref="A7:I7"/>
    <mergeCell ref="A14:H14"/>
    <mergeCell ref="A24:H24"/>
    <mergeCell ref="A101:G101"/>
    <mergeCell ref="A109:G109"/>
    <mergeCell ref="A118:G118"/>
    <mergeCell ref="A44:H44"/>
    <mergeCell ref="A54:I54"/>
    <mergeCell ref="A72:J72"/>
    <mergeCell ref="A83:J83"/>
    <mergeCell ref="A89:J89"/>
    <mergeCell ref="A99:J9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9F3A-8089-427E-B507-F84FB921EAA7}">
  <dimension ref="A1:E32"/>
  <sheetViews>
    <sheetView showGridLines="0" workbookViewId="0">
      <selection activeCell="E21" sqref="E21"/>
    </sheetView>
  </sheetViews>
  <sheetFormatPr defaultRowHeight="15" x14ac:dyDescent="0.25"/>
  <cols>
    <col min="1" max="1" width="47.5703125" customWidth="1"/>
    <col min="2" max="2" width="19" customWidth="1"/>
  </cols>
  <sheetData>
    <row r="1" spans="1:5" ht="18.75" x14ac:dyDescent="0.3">
      <c r="A1" s="70" t="s">
        <v>78</v>
      </c>
      <c r="B1" s="70"/>
      <c r="C1" s="70"/>
      <c r="D1" s="70"/>
      <c r="E1" s="70"/>
    </row>
    <row r="3" spans="1:5" x14ac:dyDescent="0.25">
      <c r="A3" s="71" t="s">
        <v>79</v>
      </c>
      <c r="B3" s="71"/>
      <c r="C3" s="71"/>
      <c r="D3" s="71"/>
      <c r="E3" s="71"/>
    </row>
    <row r="4" spans="1:5" x14ac:dyDescent="0.25">
      <c r="A4" s="7" t="s">
        <v>80</v>
      </c>
      <c r="B4" s="7" t="s">
        <v>16</v>
      </c>
    </row>
    <row r="5" spans="1:5" x14ac:dyDescent="0.25">
      <c r="A5" t="s">
        <v>81</v>
      </c>
      <c r="B5" s="9">
        <v>4.2999999999999997E-2</v>
      </c>
    </row>
    <row r="6" spans="1:5" x14ac:dyDescent="0.25">
      <c r="A6" t="s">
        <v>82</v>
      </c>
      <c r="B6" s="14">
        <v>1</v>
      </c>
    </row>
    <row r="7" spans="1:5" x14ac:dyDescent="0.25">
      <c r="A7" t="s">
        <v>83</v>
      </c>
      <c r="B7" s="9">
        <v>5.5E-2</v>
      </c>
    </row>
    <row r="8" spans="1:5" x14ac:dyDescent="0.25">
      <c r="A8" t="s">
        <v>84</v>
      </c>
      <c r="B8" s="9">
        <v>0.02</v>
      </c>
    </row>
    <row r="9" spans="1:5" x14ac:dyDescent="0.25">
      <c r="A9" t="s">
        <v>85</v>
      </c>
      <c r="B9" s="15">
        <f>B6*(1+(1-B18)*B15/B14)</f>
        <v>1.0855938721215002</v>
      </c>
    </row>
    <row r="10" spans="1:5" x14ac:dyDescent="0.25">
      <c r="A10" s="3" t="s">
        <v>86</v>
      </c>
      <c r="B10" s="16">
        <f>B5+B9*B7+B8</f>
        <v>0.12270766296668251</v>
      </c>
    </row>
    <row r="12" spans="1:5" x14ac:dyDescent="0.25">
      <c r="A12" s="71" t="s">
        <v>87</v>
      </c>
      <c r="B12" s="71"/>
      <c r="C12" s="71"/>
      <c r="D12" s="71"/>
      <c r="E12" s="71"/>
    </row>
    <row r="13" spans="1:5" x14ac:dyDescent="0.25">
      <c r="A13" s="7" t="s">
        <v>80</v>
      </c>
      <c r="B13" s="7" t="s">
        <v>16</v>
      </c>
    </row>
    <row r="14" spans="1:5" x14ac:dyDescent="0.25">
      <c r="A14" t="s">
        <v>88</v>
      </c>
      <c r="B14" s="17">
        <f>DCF!B95</f>
        <v>1752.461902729151</v>
      </c>
    </row>
    <row r="15" spans="1:5" x14ac:dyDescent="0.25">
      <c r="A15" t="s">
        <v>89</v>
      </c>
      <c r="B15" s="8">
        <v>200</v>
      </c>
    </row>
    <row r="16" spans="1:5" x14ac:dyDescent="0.25">
      <c r="A16" t="s">
        <v>90</v>
      </c>
      <c r="B16" s="8">
        <v>50</v>
      </c>
    </row>
    <row r="17" spans="1:5" x14ac:dyDescent="0.25">
      <c r="A17" t="s">
        <v>20</v>
      </c>
      <c r="B17" s="18">
        <f>B15-B16</f>
        <v>150</v>
      </c>
    </row>
    <row r="18" spans="1:5" x14ac:dyDescent="0.25">
      <c r="A18" t="s">
        <v>91</v>
      </c>
      <c r="B18" s="9">
        <v>0.25</v>
      </c>
    </row>
    <row r="19" spans="1:5" x14ac:dyDescent="0.25">
      <c r="A19" t="s">
        <v>92</v>
      </c>
      <c r="B19" s="18">
        <f>B14+B17</f>
        <v>1902.461902729151</v>
      </c>
    </row>
    <row r="20" spans="1:5" x14ac:dyDescent="0.25">
      <c r="A20" t="s">
        <v>93</v>
      </c>
      <c r="B20" s="10">
        <f>B14/B19</f>
        <v>0.92115479433001024</v>
      </c>
    </row>
    <row r="21" spans="1:5" x14ac:dyDescent="0.25">
      <c r="A21" t="s">
        <v>94</v>
      </c>
      <c r="B21" s="10">
        <f>B17/B19</f>
        <v>7.8845205669989774E-2</v>
      </c>
    </row>
    <row r="23" spans="1:5" x14ac:dyDescent="0.25">
      <c r="A23" s="71" t="s">
        <v>95</v>
      </c>
      <c r="B23" s="71"/>
      <c r="C23" s="71"/>
      <c r="D23" s="71"/>
      <c r="E23" s="71"/>
    </row>
    <row r="24" spans="1:5" x14ac:dyDescent="0.25">
      <c r="A24" s="7" t="s">
        <v>80</v>
      </c>
      <c r="B24" s="7" t="s">
        <v>16</v>
      </c>
    </row>
    <row r="25" spans="1:5" x14ac:dyDescent="0.25">
      <c r="A25" t="s">
        <v>96</v>
      </c>
      <c r="B25" s="9">
        <v>0.06</v>
      </c>
    </row>
    <row r="26" spans="1:5" x14ac:dyDescent="0.25">
      <c r="A26" t="s">
        <v>97</v>
      </c>
      <c r="B26" s="16">
        <f>B25*(1-B18)</f>
        <v>4.4999999999999998E-2</v>
      </c>
    </row>
    <row r="28" spans="1:5" x14ac:dyDescent="0.25">
      <c r="A28" s="71" t="s">
        <v>98</v>
      </c>
      <c r="B28" s="71"/>
      <c r="C28" s="71"/>
      <c r="D28" s="71"/>
      <c r="E28" s="71"/>
    </row>
    <row r="29" spans="1:5" x14ac:dyDescent="0.25">
      <c r="A29" s="7" t="s">
        <v>80</v>
      </c>
      <c r="B29" s="7" t="s">
        <v>16</v>
      </c>
    </row>
    <row r="30" spans="1:5" x14ac:dyDescent="0.25">
      <c r="A30" t="s">
        <v>99</v>
      </c>
      <c r="B30" s="10">
        <f>B10*B20</f>
        <v>0.11303275204279063</v>
      </c>
    </row>
    <row r="31" spans="1:5" x14ac:dyDescent="0.25">
      <c r="A31" t="s">
        <v>100</v>
      </c>
      <c r="B31" s="10">
        <f>B26*B21</f>
        <v>3.5480342551495398E-3</v>
      </c>
    </row>
    <row r="32" spans="1:5" ht="15.75" x14ac:dyDescent="0.25">
      <c r="A32" s="19" t="s">
        <v>29</v>
      </c>
      <c r="B32" s="20">
        <f>B30+B31</f>
        <v>0.11658078629794018</v>
      </c>
    </row>
  </sheetData>
  <mergeCells count="5">
    <mergeCell ref="A1:E1"/>
    <mergeCell ref="A3:E3"/>
    <mergeCell ref="A12:E12"/>
    <mergeCell ref="A23:E23"/>
    <mergeCell ref="A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Log</vt:lpstr>
      <vt:lpstr>DCF</vt:lpstr>
      <vt:lpstr>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Gauvin</dc:creator>
  <cp:lastModifiedBy>Chris Gauvin</cp:lastModifiedBy>
  <dcterms:created xsi:type="dcterms:W3CDTF">2026-04-01T17:18:56Z</dcterms:created>
  <dcterms:modified xsi:type="dcterms:W3CDTF">2026-04-08T19:46:00Z</dcterms:modified>
</cp:coreProperties>
</file>